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555" activeTab="2"/>
  </bookViews>
  <sheets>
    <sheet name="6.01" sheetId="4" r:id="rId1"/>
    <sheet name="6.02" sheetId="3" r:id="rId2"/>
    <sheet name="6.03" sheetId="2" r:id="rId3"/>
    <sheet name="6.04" sheetId="1" r:id="rId4"/>
  </sheets>
  <calcPr calcId="125725"/>
</workbook>
</file>

<file path=xl/calcChain.xml><?xml version="1.0" encoding="utf-8"?>
<calcChain xmlns="http://schemas.openxmlformats.org/spreadsheetml/2006/main">
  <c r="G110" i="2"/>
  <c r="H110"/>
  <c r="I110"/>
  <c r="E110"/>
  <c r="F109"/>
  <c r="F110" s="1"/>
  <c r="G109"/>
  <c r="H109"/>
  <c r="I109"/>
  <c r="E109"/>
  <c r="F147"/>
  <c r="G147"/>
  <c r="H147"/>
  <c r="E147"/>
  <c r="F146"/>
  <c r="G146"/>
  <c r="H146"/>
  <c r="I146"/>
  <c r="I147" s="1"/>
  <c r="E146"/>
  <c r="C54" i="1"/>
  <c r="C56" s="1"/>
  <c r="C55"/>
  <c r="C57"/>
  <c r="E51" i="4"/>
  <c r="F51"/>
  <c r="E50"/>
  <c r="F50"/>
  <c r="D56" l="1"/>
  <c r="E23" i="1"/>
  <c r="B235"/>
  <c r="C235"/>
  <c r="E20"/>
  <c r="E19"/>
  <c r="E18" l="1"/>
  <c r="C195"/>
  <c r="C200" s="1"/>
  <c r="C201" s="1"/>
  <c r="B105" s="1"/>
  <c r="D105" s="1"/>
  <c r="G92" s="1"/>
  <c r="H92" s="1"/>
  <c r="C184"/>
  <c r="E17" s="1"/>
  <c r="F176"/>
  <c r="E173"/>
  <c r="I176" s="1"/>
  <c r="F16" s="1"/>
  <c r="C157"/>
  <c r="F15" s="1"/>
  <c r="D142"/>
  <c r="D144" s="1"/>
  <c r="F14" s="1"/>
  <c r="B136"/>
  <c r="B131"/>
  <c r="J117"/>
  <c r="F117" s="1"/>
  <c r="F118" s="1"/>
  <c r="C121" s="1"/>
  <c r="G93" s="1"/>
  <c r="H93" s="1"/>
  <c r="G101"/>
  <c r="G91" s="1"/>
  <c r="H91" s="1"/>
  <c r="D138" l="1"/>
  <c r="F13" s="1"/>
  <c r="E96"/>
  <c r="E98" s="1"/>
  <c r="E99" l="1"/>
  <c r="G90" s="1"/>
  <c r="H90" s="1"/>
  <c r="H94" s="1"/>
  <c r="F12" s="1"/>
  <c r="D82" l="1"/>
  <c r="I79" s="1"/>
  <c r="I70"/>
  <c r="I69"/>
  <c r="D70"/>
  <c r="D69"/>
  <c r="I78"/>
  <c r="I77"/>
  <c r="H80"/>
  <c r="H72"/>
  <c r="C72"/>
  <c r="D72" l="1"/>
  <c r="C73" s="1"/>
  <c r="I72"/>
  <c r="H73" s="1"/>
  <c r="I80"/>
  <c r="H81" s="1"/>
  <c r="C58"/>
  <c r="I133" i="2"/>
  <c r="G136"/>
  <c r="I126"/>
  <c r="I82"/>
  <c r="G129"/>
  <c r="I123"/>
  <c r="G116"/>
  <c r="D76"/>
  <c r="I76"/>
  <c r="J46"/>
  <c r="E41" s="1"/>
  <c r="E44" s="1"/>
  <c r="F29" s="1"/>
  <c r="F28"/>
  <c r="H57" s="1"/>
  <c r="I56" s="1"/>
  <c r="E27" i="3"/>
  <c r="G84" i="1" l="1"/>
  <c r="E11" s="1"/>
  <c r="C60"/>
  <c r="E38" s="1"/>
  <c r="G117" i="2"/>
  <c r="G118" s="1"/>
  <c r="H54"/>
  <c r="I53" s="1"/>
  <c r="F30"/>
  <c r="E69" s="1"/>
  <c r="E57" i="4"/>
  <c r="E58" s="1"/>
  <c r="F57"/>
  <c r="F58" s="1"/>
  <c r="D57"/>
  <c r="D58" s="1"/>
  <c r="D51"/>
  <c r="D50"/>
  <c r="C61" i="1" l="1"/>
  <c r="F10" s="1"/>
  <c r="C240"/>
  <c r="K63" i="2"/>
  <c r="K65"/>
  <c r="C62" i="1" l="1"/>
  <c r="F9" s="1"/>
  <c r="E22" s="1"/>
  <c r="D77" i="2"/>
  <c r="D78" s="1"/>
  <c r="I85" s="1"/>
  <c r="E70"/>
  <c r="I77"/>
  <c r="I78" s="1"/>
  <c r="E71"/>
  <c r="E24" i="1" l="1"/>
  <c r="C241"/>
  <c r="F243" s="1"/>
  <c r="I96" i="2"/>
  <c r="F99"/>
  <c r="G99" s="1"/>
  <c r="F91"/>
  <c r="E72"/>
  <c r="G91" l="1"/>
  <c r="E25" i="1"/>
  <c r="E28" s="1"/>
  <c r="E39"/>
  <c r="E40" l="1"/>
  <c r="E41" s="1"/>
  <c r="E42" l="1"/>
  <c r="E43"/>
  <c r="E44" s="1"/>
</calcChain>
</file>

<file path=xl/sharedStrings.xml><?xml version="1.0" encoding="utf-8"?>
<sst xmlns="http://schemas.openxmlformats.org/spreadsheetml/2006/main" count="574" uniqueCount="464">
  <si>
    <t>DATOS DEL EJERCICIO:</t>
  </si>
  <si>
    <t>RESOLUCIÓN EJERCICIO Nº 6.01. DEDUCCIONES ESPECIALES DE 3RA CATEGORÍA: GASTOS DE ORGANIZACIÓN.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</si>
  <si>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87 LIG; Arts. 140 DR</t>
    </r>
  </si>
  <si>
    <t xml:space="preserve">En el artículo 87 inciso c) de la LIG se establece que los "gastos de organización" son gastos deducibles del Impuesto a las Ganancias de la Tercera </t>
  </si>
  <si>
    <t>http://www.mrconsultores.com.ar/archivos/Capacitacion/2011/Jornadas_de_Capacitacion_y_Actualizacion_Tributaria_2011/02%20-%20Abril_de_2011</t>
  </si>
  <si>
    <t>/02%20-%20MR%20-%20Deducciones%20especiales%20tercera%20categoria.pdf</t>
  </si>
  <si>
    <t xml:space="preserve">Ganancias. 5ta Edición. ed. Facultad de Ciencias  Económicas. UNC., 2010. pp. 291-325. </t>
  </si>
  <si>
    <t xml:space="preserve">Cátedra de  Legislación y Técnica Fiscal I (UNC). "CAPITULO VII: Ganancias de la Tercera Categoría: Determinación de las Ganancias."  Impuesto a las </t>
  </si>
  <si>
    <t xml:space="preserve">cuyo fin sea desarrollar nuevos proyectos vinculados con el objeto social, serán clasificados como gastos de organización y por lo tanto serán deducibles </t>
  </si>
  <si>
    <t>del impuesto. [IECSA SA. TFN Sala D del 2/3/2001.]</t>
  </si>
  <si>
    <t xml:space="preserve">Según la Jurisprudencia, el Tribunal Fiscal resolvió que los gastos incurridos en bienes inmanteriales (ej.: investigación, experiencias, procedimientos) </t>
  </si>
  <si>
    <t>El artículo 140 del DR otorga el mismo tratamiento a los gastos de investigación, estudio y desarrollo destinados a la obtención de intangibles.</t>
  </si>
  <si>
    <t>GASTOS DEDUCIBLES</t>
  </si>
  <si>
    <t>Con respecto a la afectación de los gastos de organización, la norma plantea en el artículo citado anteriormente, que el contribuyente puede optar</t>
  </si>
  <si>
    <t>por dos maneras de realizar la deducción: hacer la deducción en el primer ejercicio, o amortizar los gastos en un plazo no mayor a 5 años.</t>
  </si>
  <si>
    <t xml:space="preserve">En resumen: </t>
  </si>
  <si>
    <t xml:space="preserve">Ejemplo numérico: </t>
  </si>
  <si>
    <t xml:space="preserve">La empresa "La Maquinita SA" inició sus actividades el 01/01/2013. Para su constitución, incurrió en un gasto de $5.000,00. </t>
  </si>
  <si>
    <t xml:space="preserve">Otros datos: </t>
  </si>
  <si>
    <t>Fecha de cierre de ejercicio: 31/12</t>
  </si>
  <si>
    <t>Alícuota de IG para una SA: 35%</t>
  </si>
  <si>
    <t>a) El contribuyente elige deducir los gastos de organización en el primer ejercicio.</t>
  </si>
  <si>
    <t>b) El contribuyente elige amortizar los gastos en 3 años.</t>
  </si>
  <si>
    <t>Resultado contable antes de IG: $40.500,00 (2013); $43.000,00 (2014); $47.000,00 (2015).</t>
  </si>
  <si>
    <t xml:space="preserve">Resolución: </t>
  </si>
  <si>
    <t xml:space="preserve">a) Si el contribuyente eligiera deducir los gastos de organización en el primer ejercicio: </t>
  </si>
  <si>
    <t>Resultado Contable (antes de IG)</t>
  </si>
  <si>
    <t>- Gtos de Organización deducibles</t>
  </si>
  <si>
    <t>Ejercicio 2013</t>
  </si>
  <si>
    <t>Ganancia Impositiva</t>
  </si>
  <si>
    <t>Impuesto Determinado</t>
  </si>
  <si>
    <t>Ejercicio 2014</t>
  </si>
  <si>
    <t>Ejercicio 2015</t>
  </si>
  <si>
    <t>b) Si el contribuyente eligiera amortizar los gastos de organización en 3 años:</t>
  </si>
  <si>
    <t>RESOLUCIÓN EJERCICIO Nº 6.02. MEJORA vs. REPARACIÓN.</t>
  </si>
  <si>
    <t>Teórico.</t>
  </si>
  <si>
    <t>Categoría. Se entiende por "gastos de organización" a todas aquellas erogaciones relacionadas con la constitución de la estructura u ordenamiento de una</t>
  </si>
  <si>
    <t>sociedad, comprendiendo los gastos de organización tanto jurídica, como administrativa, comercial y contable del ente. Tambien se incluyen aquellos</t>
  </si>
  <si>
    <t>gastos de reorganización de una empresa que ya existe y los gastos de constitución de una sociedad.</t>
  </si>
  <si>
    <t xml:space="preserve">La distinción entre "MEJORAS" y "REPARACIONES" es un tema importante a la hora de decidir el tratamiento impositivo que corresponde aplicar en cada </t>
  </si>
  <si>
    <t xml:space="preserve">caso. Las "REPARACIONES" o gastos de mantenimiento, son erogaciones ordinarias necesarias para el mantenimiento del bien, y cuyo objetivo es </t>
  </si>
  <si>
    <t>mantener el bien en sus condiciones de uso originarias. En ese caso, el tratamiento impositivo que corresponde es deducir el gasto de las reparaciones</t>
  </si>
  <si>
    <t>en el ejerccio fiscal en el que se incurran (art. 80 LIG). En cambio, las "MEJORAS" son erogaciones que tienen como objetivo prolongar la vida útil del bien,</t>
  </si>
  <si>
    <t>cambiar sus características originales, y/o alterar o agregar condiciones útiles al mismo. El tratamiento impositivo en este caso cambia, pues las mejoras</t>
  </si>
  <si>
    <t>límite que admite prueba en contrario.</t>
  </si>
  <si>
    <t>Reglamentario también incluye en su artículo 147 que se considera "mejora" si el monto invertido supera el 20% del valor residual ajustado del bien,</t>
  </si>
  <si>
    <t>Práctico.</t>
  </si>
  <si>
    <t>a. Reparación.</t>
  </si>
  <si>
    <t>se amortizan en el resto de la vida útil del bien mejorado a partir del ejercicio en que la mejora se habilita inclusive (art. 147 DR). El Decreto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</si>
  <si>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80 LIG; arts. 147 DR</t>
    </r>
  </si>
  <si>
    <t>b. Mejoras</t>
  </si>
  <si>
    <t>Año de compra de la máquina</t>
  </si>
  <si>
    <t>Año de habilitación de la mejora</t>
  </si>
  <si>
    <t>Años de VU asignadas a la máquina</t>
  </si>
  <si>
    <t>Valor de la Mejora</t>
  </si>
  <si>
    <t>Amortización anual de la mejora (15.000,00 / 8) =</t>
  </si>
  <si>
    <t>RESOLUCIÓN EJERCICIO Nº 6.03. VENTA Y REEMPLAZO.</t>
  </si>
  <si>
    <t>Gastos de mantenimiento deducibles en el 2013 = $5.000,00</t>
  </si>
  <si>
    <t xml:space="preserve">La mejora se amortiza en el resto de la VU del bien mejorado, entonces: </t>
  </si>
  <si>
    <t>Se podrán deducir en concepto de "amortización de la mejora" $1.875,00 desde el ejercicio 2013 hasta el 2020.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</si>
  <si>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67 LIG; Arts. 96 DR; RG (AFIP) 2140.</t>
    </r>
  </si>
  <si>
    <t>CE 2010</t>
  </si>
  <si>
    <t>CE 2011</t>
  </si>
  <si>
    <t>CE 2012</t>
  </si>
  <si>
    <t>CE 2013</t>
  </si>
  <si>
    <t>Fecha de compra del</t>
  </si>
  <si>
    <t>16/06/2010.</t>
  </si>
  <si>
    <t>VO = $850.000,00</t>
  </si>
  <si>
    <t>inmueble de reemplazo:</t>
  </si>
  <si>
    <t>Fecha de venta del</t>
  </si>
  <si>
    <t>03/05/2013.</t>
  </si>
  <si>
    <t>VO = $1.176.000,00</t>
  </si>
  <si>
    <t>nuevo inmueble:</t>
  </si>
  <si>
    <t>16/07/2013.</t>
  </si>
  <si>
    <t>VO = $750.000,00</t>
  </si>
  <si>
    <t>nuevo bien mueble:</t>
  </si>
  <si>
    <t>27/08/2013.</t>
  </si>
  <si>
    <t>VO = $40.000,00</t>
  </si>
  <si>
    <t>1RO- Determinar el Resultado de Venta Impositivo</t>
  </si>
  <si>
    <t>Precio de Venta del Inmueble (1.200.000,00 - 24.000,00)</t>
  </si>
  <si>
    <t xml:space="preserve">Valor Residual del Inmueble </t>
  </si>
  <si>
    <t>Resultado de Venta Impositivo</t>
  </si>
  <si>
    <t>Nota 1: Valor Residual del Inmueble</t>
  </si>
  <si>
    <t>(Nota 1)</t>
  </si>
  <si>
    <t>Amortización Acumulada =</t>
  </si>
  <si>
    <t>200 T</t>
  </si>
  <si>
    <t>Precio de Compra x 67%* x T. Transcurridos</t>
  </si>
  <si>
    <t>* El 67% corresponde a la parte construida del inmueble según la valuación por justiprecio.</t>
  </si>
  <si>
    <t>Trimestres Transcurridos.</t>
  </si>
  <si>
    <t>Año</t>
  </si>
  <si>
    <t>Trimestres</t>
  </si>
  <si>
    <t>JUL-SEPT</t>
  </si>
  <si>
    <t>ABR-JUN</t>
  </si>
  <si>
    <t>ENE-MAR</t>
  </si>
  <si>
    <t>OCT-DIC</t>
  </si>
  <si>
    <t>1RO</t>
  </si>
  <si>
    <t>2DO</t>
  </si>
  <si>
    <t>3RO</t>
  </si>
  <si>
    <t>4TO</t>
  </si>
  <si>
    <t xml:space="preserve">DESDE el </t>
  </si>
  <si>
    <t xml:space="preserve">trimestre de </t>
  </si>
  <si>
    <t xml:space="preserve">compra </t>
  </si>
  <si>
    <t xml:space="preserve">HASTA el </t>
  </si>
  <si>
    <t xml:space="preserve">inmediato </t>
  </si>
  <si>
    <t>anterior a su</t>
  </si>
  <si>
    <t>venta</t>
  </si>
  <si>
    <t>$850.000,00 x 67% x 12T</t>
  </si>
  <si>
    <t>Valor Residual = VO - AA =</t>
  </si>
  <si>
    <t>$850.000,00 - $34.170,00 =</t>
  </si>
  <si>
    <t>2DO- Proporción afectada a la compra de los bienes de reemplazo</t>
  </si>
  <si>
    <t>Precio de Venta del Inmueble Reemplazado</t>
  </si>
  <si>
    <t>Precio de Compra del Nuevo Inmueble</t>
  </si>
  <si>
    <t>Precio de Compra de la Nueva Máquina</t>
  </si>
  <si>
    <t>En el caso de los inmuebles, se compara el precio de venta del inmueble con el costo del bien de reemplazo.</t>
  </si>
  <si>
    <t>3RO- Afectación de la utilidad al costo de los nuevos bienes</t>
  </si>
  <si>
    <t>Resultado de Venta Impositivo x Proporción Afectada =</t>
  </si>
  <si>
    <t>$360.170,00 x 64% =</t>
  </si>
  <si>
    <t>$360.170,00 x 3% =</t>
  </si>
  <si>
    <t xml:space="preserve">Costo del nuevo Inmueble </t>
  </si>
  <si>
    <t>Utilidad afectada opcion V y R</t>
  </si>
  <si>
    <t>Costo de la nueva máquina</t>
  </si>
  <si>
    <t>4TO- Utilidad a declarar en el ejercicio 2013</t>
  </si>
  <si>
    <t>Utilidad Impositiva por la Venta del Inmueble</t>
  </si>
  <si>
    <t>Utilidad Impositiva a Declarar en el Ej. 2013</t>
  </si>
  <si>
    <t>VO Impositivo Inmueble</t>
  </si>
  <si>
    <t>VO Impositivo Máquina</t>
  </si>
  <si>
    <t>Fecha de compra: 16/07/2013</t>
  </si>
  <si>
    <t>VU</t>
  </si>
  <si>
    <t>VO Impositivo del inmueble x 85% x T. Transcurridos</t>
  </si>
  <si>
    <t>VO Impositivo de la Máquina</t>
  </si>
  <si>
    <t>VO Impositivo del inmueble x 85% x 4</t>
  </si>
  <si>
    <t>Utilidad Impositiva a Declarar en 2013</t>
  </si>
  <si>
    <t>Amortización Impositiva Bien Reemplazado</t>
  </si>
  <si>
    <t>Amortización Impositiva Máquina Nueva</t>
  </si>
  <si>
    <t>NUEVO</t>
  </si>
  <si>
    <t>NUEVA</t>
  </si>
  <si>
    <t>REEMPLAZADO</t>
  </si>
  <si>
    <t>VO Impositivo del inmueble x 67% x T. Transcurridos</t>
  </si>
  <si>
    <t>$850.000,00 x 67% x 2T</t>
  </si>
  <si>
    <t>$520.299,74 x 85% x 1T</t>
  </si>
  <si>
    <t>Resultado del Ejercicio</t>
  </si>
  <si>
    <t>Impuesto Determinado (35%)</t>
  </si>
  <si>
    <t>Ejercicio 2016</t>
  </si>
  <si>
    <t>Ejercicio 2017</t>
  </si>
  <si>
    <t>520.299,74 x 85% x 4T</t>
  </si>
  <si>
    <t>Amortización Impositiva Inmueble Nuevo</t>
  </si>
  <si>
    <t>b) Resolución SIN ejercicio de la Opción de Venta y Reemplazo.</t>
  </si>
  <si>
    <t>a) Resolución CON ejercicio de la Opción de Venta y Reemplazo.</t>
  </si>
  <si>
    <t>Resultado de Venta Impositivo = Utilidad Impositiva a Declarar en el Ej. 2013 =</t>
  </si>
  <si>
    <t>VO del inmueble x 67% x T. Transcurridos</t>
  </si>
  <si>
    <t>VO del inmueble x 85% x T. Transcurridos</t>
  </si>
  <si>
    <t>VO de la Máquina</t>
  </si>
  <si>
    <t>$750.000,00 x 85% x 1T</t>
  </si>
  <si>
    <t>VO del inmueble x 85% x 4</t>
  </si>
  <si>
    <t>$750.000,00 x 85% x 4T</t>
  </si>
  <si>
    <t>CON la opción de Venta y Reemplazo</t>
  </si>
  <si>
    <t>SIN la opción de Venta y Reemplazo</t>
  </si>
  <si>
    <t>CONCLUSIÓN</t>
  </si>
  <si>
    <t>Analizando y comparando sólo lo que sucede impositivamente con el ejercicio de la opción de venta y reeplazo, en el ejercicio 2013 y los posteriores</t>
  </si>
  <si>
    <t>ejercicios proyectados, podemos concluir  que lo que se logra con la opción es diferir en el tiempo el ingreso del impuesto derivado  de la ganancia</t>
  </si>
  <si>
    <t>por la venta del bien inmueble. Esto es así ya que al ejercer la opción, se paga el impuesto sobre la misma ganancia pero prorrateada en los años</t>
  </si>
  <si>
    <t>de vida útil de los bienes adquiridos en reemplazo (menor amortización).</t>
  </si>
  <si>
    <t xml:space="preserve">RESOLUCIÓN EJERCICIO Nº 6.04. TERCERA CATEGORÍA. SUJETOS QUE LLEVAN LIBROS. </t>
  </si>
  <si>
    <t>CONCEPTOS</t>
  </si>
  <si>
    <t>AJUSTES</t>
  </si>
  <si>
    <t>menos</t>
  </si>
  <si>
    <t>más</t>
  </si>
  <si>
    <t>Resultado Contable</t>
  </si>
  <si>
    <t xml:space="preserve">DATOS DEL EJERCICIO: </t>
  </si>
  <si>
    <t>Ventas</t>
  </si>
  <si>
    <t>Costo de Venta</t>
  </si>
  <si>
    <t>Utilidad Bruta</t>
  </si>
  <si>
    <t>Gastos de Administración</t>
  </si>
  <si>
    <t>Gastos de Comercialización</t>
  </si>
  <si>
    <t>Gastos de Financiación</t>
  </si>
  <si>
    <t>Utilidad Neta Contable</t>
  </si>
  <si>
    <t>Impuesto a las Ganancias</t>
  </si>
  <si>
    <t>EERR</t>
  </si>
  <si>
    <t>Normativa</t>
  </si>
  <si>
    <t>Referencia</t>
  </si>
  <si>
    <t>Ajuste por Amortizaciones</t>
  </si>
  <si>
    <t>Ref. 1</t>
  </si>
  <si>
    <t>Nota</t>
  </si>
  <si>
    <t>Nota 1: Ajuste por Costo de Venta</t>
  </si>
  <si>
    <t>Novelas</t>
  </si>
  <si>
    <t>Existencia Inicial</t>
  </si>
  <si>
    <t>+ Compras</t>
  </si>
  <si>
    <t>- Existencia Final</t>
  </si>
  <si>
    <t>Libros Académicos</t>
  </si>
  <si>
    <t>Libros de Autoayuda</t>
  </si>
  <si>
    <t>= Costo de Venta</t>
  </si>
  <si>
    <t>CONTABLE</t>
  </si>
  <si>
    <t>IMPOSITIVO</t>
  </si>
  <si>
    <t>DIFERENCIA</t>
  </si>
  <si>
    <t>Existencia de Mercaderia (Q)</t>
  </si>
  <si>
    <t>x Costo última compra en los 2 meses</t>
  </si>
  <si>
    <t xml:space="preserve">    anteriores a la fecha de cierre (de </t>
  </si>
  <si>
    <t xml:space="preserve">    CONTADO y en cantidades NORMALES)</t>
  </si>
  <si>
    <t>Valuación de Bienes de Cambio (Reventa) art. 52 a) LIG</t>
  </si>
  <si>
    <t>Ajuste Total por Valuación de Bienes de Cambio = -32.000 + 3.000 - 2.600 =</t>
  </si>
  <si>
    <t>Existencia Final Libros Autoayuda ($$)</t>
  </si>
  <si>
    <t>52 a) LIG</t>
  </si>
  <si>
    <t xml:space="preserve">88 d) LIG </t>
  </si>
  <si>
    <t>Nota 2: Ajuste por Amortizaciones</t>
  </si>
  <si>
    <t>Concepto</t>
  </si>
  <si>
    <t>Computadoras x 2</t>
  </si>
  <si>
    <t xml:space="preserve">Inmueble </t>
  </si>
  <si>
    <t>Automóvil</t>
  </si>
  <si>
    <t>VO</t>
  </si>
  <si>
    <t>Fecha Compra</t>
  </si>
  <si>
    <t>Contable</t>
  </si>
  <si>
    <t>Impositiva</t>
  </si>
  <si>
    <t>Diferencia</t>
  </si>
  <si>
    <t xml:space="preserve">Mejora Inmueble </t>
  </si>
  <si>
    <t>Amortización Impositiva Inmueble:</t>
  </si>
  <si>
    <t>VO del inmueble</t>
  </si>
  <si>
    <t>Según el justiprecio: Inmueble = 67% Construcción; 33% Terreno</t>
  </si>
  <si>
    <t>Valor amortizable del inmueble = $850.000,00 x 67% =</t>
  </si>
  <si>
    <t>Amortización del inmueble = ($569.500 / 200 T) x 4T =</t>
  </si>
  <si>
    <t>Amortización Impositiva Automóvil:</t>
  </si>
  <si>
    <t xml:space="preserve">Amortización TOPE (84, 88 l) LIG) considera como </t>
  </si>
  <si>
    <t>=</t>
  </si>
  <si>
    <t>VO máximo del automóvil $20.000,00</t>
  </si>
  <si>
    <t>Mejora Impositiva Inmueble:</t>
  </si>
  <si>
    <t>82 f), 83, 84, 88 l) LIG</t>
  </si>
  <si>
    <t>Recordar: Las mejoras se amortizan sólo por los años de VU que le restan al inmueble al que fueron incorporadas.</t>
  </si>
  <si>
    <t>Fecha de compra del inmueble</t>
  </si>
  <si>
    <t>Fecha de Habilitación de la Mejora</t>
  </si>
  <si>
    <t>Valor de la Mejora a Amortizar</t>
  </si>
  <si>
    <t>La mejora se amortiza por su valor total, ya que se trata solo de construcción. Además, no interesa si</t>
  </si>
  <si>
    <t>fueron pagadas por el propietario o por el inquilino.</t>
  </si>
  <si>
    <t>Total de la VU del inmueble</t>
  </si>
  <si>
    <t>Trimestres transcurridos hasta el inmediato anterior a la mejora</t>
  </si>
  <si>
    <t>VU de la mejora</t>
  </si>
  <si>
    <t>Amortización para el año 2013 (año en el que se termina la mejora)</t>
  </si>
  <si>
    <t>terminar el período anual, una vez habilitada la mejora.</t>
  </si>
  <si>
    <t>JUL-SEP</t>
  </si>
  <si>
    <t>($30.000,00 / 182) x 2 T =</t>
  </si>
  <si>
    <t>En el ejercicio 2013 se amortizan 2 trimestres, que son la cantidad de trimestres que restan para</t>
  </si>
  <si>
    <t>136 DR</t>
  </si>
  <si>
    <t>Ref. 2.2.</t>
  </si>
  <si>
    <t>Nota 3: Ajuste por Incobrables</t>
  </si>
  <si>
    <t>Incobrables Contables:</t>
  </si>
  <si>
    <t>Cliente I</t>
  </si>
  <si>
    <t>Cliente II</t>
  </si>
  <si>
    <t>Cliente III</t>
  </si>
  <si>
    <t>Deuda</t>
  </si>
  <si>
    <t>Escasa Significación</t>
  </si>
  <si>
    <t>General</t>
  </si>
  <si>
    <t>Tipo de Deuda</t>
  </si>
  <si>
    <t>No cumple con las condiciones del art. 136 DR.</t>
  </si>
  <si>
    <t>Cumple art. 136 DR inciso d) "iniciación de acciones judiciales tendientes al cobro".</t>
  </si>
  <si>
    <t>Cumple concurrentemente los requisitos I, II, III, IV del art. 136 DR.</t>
  </si>
  <si>
    <t xml:space="preserve">Incobrables Impositivos: </t>
  </si>
  <si>
    <t>Ajuste impositivo por incobrables =</t>
  </si>
  <si>
    <t>Ref. 4.1.</t>
  </si>
  <si>
    <t>Ref. 3.1.</t>
  </si>
  <si>
    <t>Ref. 3.2.</t>
  </si>
  <si>
    <t>87 g) LIG; 139 DR</t>
  </si>
  <si>
    <t>Gratificaciones:</t>
  </si>
  <si>
    <t xml:space="preserve">Pago después del vto de la DDJJ: </t>
  </si>
  <si>
    <t>Deducción en el ejercicio de PAGO</t>
  </si>
  <si>
    <t>Deducción en el ejercicio POR EL CUAL SE PAGA</t>
  </si>
  <si>
    <t xml:space="preserve">Pago dentro del plazo de vto de la DDJJ : </t>
  </si>
  <si>
    <t>87 i) LIG; 141 DR</t>
  </si>
  <si>
    <t>Nota 4: Ajuste por Gastos de Representación</t>
  </si>
  <si>
    <t>Nota 5: Ajuste por Gastos a Favor del Personal</t>
  </si>
  <si>
    <t xml:space="preserve">Remuneraciones pagadas en el Ejercicio </t>
  </si>
  <si>
    <t>Computados Contablemente</t>
  </si>
  <si>
    <t>Computable Impositivamente (1,5%)</t>
  </si>
  <si>
    <t>Ajuste por excedente no computable</t>
  </si>
  <si>
    <t>Por lo tanto, la deducción computable en el ejercicio 2013 es solo la de la 1ra cuota.</t>
  </si>
  <si>
    <t xml:space="preserve">Cierre del Ej: </t>
  </si>
  <si>
    <t>Vto DDJJ:</t>
  </si>
  <si>
    <t xml:space="preserve">2da Cuota: </t>
  </si>
  <si>
    <t>1ra Cuota:</t>
  </si>
  <si>
    <t>Deducción Contable</t>
  </si>
  <si>
    <t>Deducción Impositiva</t>
  </si>
  <si>
    <t>Ajuste</t>
  </si>
  <si>
    <t>73 LIG; 103 DR</t>
  </si>
  <si>
    <t>Nota 6: Ajuste por Disposición de Fondos a Favor de Terceros.</t>
  </si>
  <si>
    <t>en interés de la empresa en una SA (entregados en calidad de préstamo, que no sean considerados propios del giro de la empresa y que no deban ser</t>
  </si>
  <si>
    <t xml:space="preserve">consideradas como ganadoras de beneficios gravados), OBTENCIÓN DE GANANCIA GRAVADA, equivalente a: </t>
  </si>
  <si>
    <t>LA LEY PRESUME, sin admitir prueba en contrario, que cuando se realiza una dispoisción de fondos a favor de 3ros que no responda a operaciones realizadas</t>
  </si>
  <si>
    <t>Tope I: Interés c/ capitalización anual para descuentos comerciales del BNA</t>
  </si>
  <si>
    <t>Tope II: Actualización IPMNG + interés del 8% anual</t>
  </si>
  <si>
    <t>de ambos</t>
  </si>
  <si>
    <r>
      <t xml:space="preserve">El </t>
    </r>
    <r>
      <rPr>
        <b/>
        <sz val="11"/>
        <color theme="1"/>
        <rFont val="Calibri"/>
        <family val="2"/>
        <scheme val="minor"/>
      </rPr>
      <t>MAYOR</t>
    </r>
    <r>
      <rPr>
        <sz val="11"/>
        <color theme="1"/>
        <rFont val="Calibri"/>
        <family val="2"/>
        <scheme val="minor"/>
      </rPr>
      <t xml:space="preserve"> </t>
    </r>
  </si>
  <si>
    <t>01/01/2013 INICIO</t>
  </si>
  <si>
    <t>31/12/2013 CIERRE</t>
  </si>
  <si>
    <t>01/03/2013 PRÉSTAMO</t>
  </si>
  <si>
    <t>30/09/2013 DEVOLUCIÓN</t>
  </si>
  <si>
    <t>7 meses</t>
  </si>
  <si>
    <t xml:space="preserve">Tope I : </t>
  </si>
  <si>
    <t>$20.000,00 x 24% x (7 m / 12 m) =</t>
  </si>
  <si>
    <t xml:space="preserve">Tope II: </t>
  </si>
  <si>
    <t>a) Actualización: ($20.000,00 x 1) - $20.000,00 = $ 0</t>
  </si>
  <si>
    <t>b) Interés del 8% s/LIG =</t>
  </si>
  <si>
    <t>$20.000,00 x 8% x 7m</t>
  </si>
  <si>
    <t xml:space="preserve">12 m </t>
  </si>
  <si>
    <r>
      <t xml:space="preserve">= $0 + $933,33 = </t>
    </r>
    <r>
      <rPr>
        <b/>
        <sz val="11"/>
        <color theme="1"/>
        <rFont val="Calibri"/>
        <family val="2"/>
        <scheme val="minor"/>
      </rPr>
      <t>$933,33</t>
    </r>
  </si>
  <si>
    <t>El MAYOR de los topes</t>
  </si>
  <si>
    <t>Tope I =</t>
  </si>
  <si>
    <t xml:space="preserve">Total de intereses </t>
  </si>
  <si>
    <t>presuntos devengados</t>
  </si>
  <si>
    <t>en el ejercicio 2013</t>
  </si>
  <si>
    <t>Gastos de Organización</t>
  </si>
  <si>
    <t>DC 1</t>
  </si>
  <si>
    <t>DC 2</t>
  </si>
  <si>
    <t>DC 3</t>
  </si>
  <si>
    <t>Opción de Venta y Reemplazo</t>
  </si>
  <si>
    <t>Intereses Presuntos (fondos a favor de 3ros)</t>
  </si>
  <si>
    <t>Gratificaciones al Personal</t>
  </si>
  <si>
    <t>Gastos de Representación</t>
  </si>
  <si>
    <t>Amortizaciones</t>
  </si>
  <si>
    <t xml:space="preserve">Incobrables </t>
  </si>
  <si>
    <t xml:space="preserve">DC 3 </t>
  </si>
  <si>
    <t>Gastos inherentes al giro del negocio</t>
  </si>
  <si>
    <t>DC 4</t>
  </si>
  <si>
    <t>Ganancia Neta Sujeta a Impuesto</t>
  </si>
  <si>
    <t>Anticipos Ingresados</t>
  </si>
  <si>
    <t>Retenciones Realizadas</t>
  </si>
  <si>
    <t>Impuesto a Ingresar</t>
  </si>
  <si>
    <t>DC 6</t>
  </si>
  <si>
    <t>Ref. 2.1. ; DC 5</t>
  </si>
  <si>
    <t>69 LIG</t>
  </si>
  <si>
    <t>67 LIG; 96 DR</t>
  </si>
  <si>
    <t>87 a) LIG</t>
  </si>
  <si>
    <t>87 c) LIG; 140 DR</t>
  </si>
  <si>
    <t>87 j) LIG</t>
  </si>
  <si>
    <t>142 DR</t>
  </si>
  <si>
    <t>Retribución al Director XX</t>
  </si>
  <si>
    <t xml:space="preserve">Nota: Los Gastos de Organización </t>
  </si>
  <si>
    <t>deducible se calculan dividiendo los</t>
  </si>
  <si>
    <t>gastos totales por el n° de años que se eligió</t>
  </si>
  <si>
    <t>amortizar dichos gastos. En este caso:</t>
  </si>
  <si>
    <t>5.000,00 / 3 = 1.666,67</t>
  </si>
  <si>
    <t>Nota 7: Ajuste por Gastos de Organización.</t>
  </si>
  <si>
    <t>Gastos de Organziación =</t>
  </si>
  <si>
    <t>años (2009, 2010, 2011, 2012, 2013)</t>
  </si>
  <si>
    <t>Deducción Ej 2013 =</t>
  </si>
  <si>
    <t xml:space="preserve">anuales </t>
  </si>
  <si>
    <r>
      <rPr>
        <sz val="11"/>
        <color theme="1"/>
        <rFont val="Symbol"/>
        <family val="1"/>
        <charset val="2"/>
      </rPr>
      <t>¸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Amortización =</t>
    </r>
  </si>
  <si>
    <t>Nota 8: Ajuste por Opción de Venta y Reemplazo BIEN MUEBLE</t>
  </si>
  <si>
    <t>Amortización Impositiva Bienes Muebles: (* VER NOTA 8 por cálculo del VO*)</t>
  </si>
  <si>
    <t>Fecha de Compra del Bien Reemplazado</t>
  </si>
  <si>
    <t>Fecha de Compra del Nuevo Bien</t>
  </si>
  <si>
    <t>Fecha de Venta del Bien Reemplazado</t>
  </si>
  <si>
    <t>VU Impositiva = 3 años. A la fecha de la venta, las computadoras se encontraban totalmente amortizadas, es decir que su VR = 0</t>
  </si>
  <si>
    <t xml:space="preserve">Anulación de la utilidad contable: </t>
  </si>
  <si>
    <t>1ro - RESULTADO DE LA VENTA</t>
  </si>
  <si>
    <t>Precio de Venta</t>
  </si>
  <si>
    <t>- Costo de Venta</t>
  </si>
  <si>
    <t>Utilidad</t>
  </si>
  <si>
    <t>2do- COSTO IMPOSITIVO DEL NUEVO BIEN</t>
  </si>
  <si>
    <t>Precio de Compra</t>
  </si>
  <si>
    <t>Utilidad Afectada</t>
  </si>
  <si>
    <t xml:space="preserve">De la información que la empresa nos brinda, podemos ver que la empresa no realizó amortizaciones por el bien vendido en el ej 2013 (ya se encontraba </t>
  </si>
  <si>
    <t xml:space="preserve">totalmente amortizado), por lo cual no debemos realizar ajustes de la amortización contable del bien reemplazado. Sí debemos ajustar la amortización </t>
  </si>
  <si>
    <t>del nuevo bien adquirido, ya que se calculará de manera diferente la amortización contable y la impositiva (*VER NOTA 2 por cálculo de la Amortización*)</t>
  </si>
  <si>
    <t>Nota 9: Otras Retribuciones a Directores</t>
  </si>
  <si>
    <t>Las retribuciones por funciones técnico-administrativas de carácter permanente a Directores, Síndicos o miembros del Consejo de Vigilancia son</t>
  </si>
  <si>
    <t>íntegramente deducibles para la sociedad, siempre que cumplan los requisitos para la deducción:</t>
  </si>
  <si>
    <t>1- Efectiva prestación acreditada</t>
  </si>
  <si>
    <t>2- Que la magnitud de los honorarios guarden relación con las tareas desarrolladas</t>
  </si>
  <si>
    <t>3- Cumplimiento de la obligaciones previsionales</t>
  </si>
  <si>
    <t>Deducción por Retribuciones a Directores en el ejercicio 2013 =</t>
  </si>
  <si>
    <t>Nota 10: Gastos inherentes al giro del negocio</t>
  </si>
  <si>
    <t>Los gastos de papelería y bolsas pueden ser considerados gastos necesarios o inherentes al giro del negocio, y por lo tanto pueden deducirse impositivamente.</t>
  </si>
  <si>
    <t>Son gastos efectuados en el marco del negocio de la sociedad y están vinculados con su actividad. Además tienen que cumplir los requisitos de:</t>
  </si>
  <si>
    <t>1- Ser justos</t>
  </si>
  <si>
    <t>2- Ser razonables</t>
  </si>
  <si>
    <t>3- Estar destinados a obtener, mantener y conservar ganancias de fuente argentina</t>
  </si>
  <si>
    <t>Deducción por Gastos inherentes al giro del negocio en el Ej 2013 =</t>
  </si>
  <si>
    <t>Nota 11: Honorario de Directores y Síndicos por sus funciones directivas.</t>
  </si>
  <si>
    <t>Subtotal: UI antes de Honorarios a Directores</t>
  </si>
  <si>
    <t xml:space="preserve">Honorario Directores </t>
  </si>
  <si>
    <t>Honorario Síndico</t>
  </si>
  <si>
    <t>El monto del Honorario del Síndico es íntegramente deducible (-5.000,00).</t>
  </si>
  <si>
    <t>En cambio, los Honorarios de Directores tienen un límite de deducción impositiva permitida por la LIG. Se calculan dos topes y se elije el MAYOR:</t>
  </si>
  <si>
    <t xml:space="preserve">Tope Fijo: </t>
  </si>
  <si>
    <t>Director XX</t>
  </si>
  <si>
    <t>Director YY</t>
  </si>
  <si>
    <t>Asignado</t>
  </si>
  <si>
    <t>Tope</t>
  </si>
  <si>
    <t>TOPE I</t>
  </si>
  <si>
    <t xml:space="preserve">Tope Variable: </t>
  </si>
  <si>
    <t>H =</t>
  </si>
  <si>
    <t>0,25 x UC - 0,0875 x UI</t>
  </si>
  <si>
    <t xml:space="preserve">donde: </t>
  </si>
  <si>
    <t>UC =</t>
  </si>
  <si>
    <t>Es la utilidad Contable, antes del IG y antes de la deducción de los honorarios de Directores y Síndicos.</t>
  </si>
  <si>
    <t xml:space="preserve">UI = </t>
  </si>
  <si>
    <t>Es la utilidad Impositiva antes de la deducción de honorarios al director</t>
  </si>
  <si>
    <t>0,25 x 646.000,00 - 0,0875 x 655.647,00</t>
  </si>
  <si>
    <t>TOPE II</t>
  </si>
  <si>
    <t>El tope máximo de HONORARIOS DEDUCIBLES PARA LA S.A. es de $114.116,04  (mayor). Por lo tanto, la empresa puede deducirse el importe completo</t>
  </si>
  <si>
    <t xml:space="preserve">asignado como honorarios para sus directores, es decir </t>
  </si>
  <si>
    <t xml:space="preserve">Cátedra de  Legislación y Técnica Fiscal I (UNC). "CAPITULO VIII: Ganancias de la Tercera Categoría: Valuación de Inventarios."  Impuesto a las </t>
  </si>
  <si>
    <t xml:space="preserve">Cátedra de  Legislación y Técnica Fiscal I (UNC). "CAPITULO IX: Ganancias de la Tercera Categoría: Deducibilidad de Malos Créditos."  Impuesto a las </t>
  </si>
  <si>
    <t xml:space="preserve">Cátedra de  Legislación y Técnica Fiscal I (UNC). "CAPITULO X: Ganancias de la Tercera Categoría: Sociedad de Capital."  Impuesto a las </t>
  </si>
  <si>
    <t xml:space="preserve">Ganancias. 5ta Edición. ed. Facultad de Ciencias  Económicas. UNC., 2010. pp. 377-435. </t>
  </si>
  <si>
    <t xml:space="preserve">Ganancias. 5ta Edición. ed. Facultad de Ciencias  Económicas. UNC., 2010. pp. 363-376. </t>
  </si>
  <si>
    <t xml:space="preserve">Ganancias. 5ta Edición. ed. Facultad de Ciencias  Económicas. UNC., 2010. pp. 327-361. </t>
  </si>
  <si>
    <t xml:space="preserve">modo de </t>
  </si>
  <si>
    <t>deducción</t>
  </si>
  <si>
    <t>de los gastos</t>
  </si>
  <si>
    <t xml:space="preserve">(opción del </t>
  </si>
  <si>
    <t>contribuyente)</t>
  </si>
  <si>
    <t xml:space="preserve">   opción 1) en el primer ejericicio</t>
  </si>
  <si>
    <t xml:space="preserve">   opción 2) amortizado hasta en 5 años</t>
  </si>
  <si>
    <t>conceptos</t>
  </si>
  <si>
    <t>incluidos</t>
  </si>
  <si>
    <t>(87 c) LIG;</t>
  </si>
  <si>
    <t>140 DR)</t>
  </si>
  <si>
    <t>asi como los gtos incurridos en la reorganización de una empresa existente.</t>
  </si>
  <si>
    <t>- gastos de constitución de una sociedad y gtos. vinculados al inicio de una sociedad,</t>
  </si>
  <si>
    <t>- gastos de ordenamiento jurídico, comercial, contable y administrativo.</t>
  </si>
  <si>
    <t>- gtos. de investigación y nvos. proyectos relacionados al objeto social de la empresa.</t>
  </si>
  <si>
    <t>- gtos. de investigación, estudio y desarrollo destinados a la obtención de intangibles.</t>
  </si>
  <si>
    <t>- etc</t>
  </si>
  <si>
    <t xml:space="preserve">Gastos de  </t>
  </si>
  <si>
    <t>de una</t>
  </si>
  <si>
    <t>Sociedad</t>
  </si>
  <si>
    <t xml:space="preserve">         Organización</t>
  </si>
  <si>
    <t>CATEGORÍA</t>
  </si>
  <si>
    <t xml:space="preserve">DE 3RA </t>
  </si>
  <si>
    <t>Determine el impuesto a ingresar, suponiendo que:</t>
  </si>
  <si>
    <t>Años que restan de vida útil en el 2013</t>
  </si>
  <si>
    <t xml:space="preserve">Afectación de la utilidad al costo de la nva. Maq. </t>
  </si>
  <si>
    <t>Afectación de la utilidad al costo del nuevo Inm.</t>
  </si>
  <si>
    <t xml:space="preserve">El artículo 69.1 de la LIG dispone que cuando los sujetos de 3ra categoría efectúen pagos de dividendos o, en su caso, distribuyan utilidades, en dinero o en </t>
  </si>
  <si>
    <r>
      <t xml:space="preserve">especie, que superen las ganancias determinadas según el Impuesto a las Ganancias, se deberán </t>
    </r>
    <r>
      <rPr>
        <b/>
        <sz val="11"/>
        <color theme="1"/>
        <rFont val="Calibri"/>
        <family val="2"/>
        <scheme val="minor"/>
      </rPr>
      <t>retener</t>
    </r>
    <r>
      <rPr>
        <sz val="11"/>
        <color theme="1"/>
        <rFont val="Calibri"/>
        <family val="2"/>
        <scheme val="minor"/>
      </rPr>
      <t xml:space="preserve"> con carácter de pago ÚNICO y DEFINITIVO,</t>
    </r>
  </si>
  <si>
    <t>el 35% sobre el referido excedente.</t>
  </si>
  <si>
    <t>1. Utilidad Contable SA antes del IG</t>
  </si>
  <si>
    <t>2. Base Imponible del IG</t>
  </si>
  <si>
    <t>3. Impuesto a las Ganancias (35% s/ 2.)</t>
  </si>
  <si>
    <t>4. Utilidad Neta Contable (1. - 3.)</t>
  </si>
  <si>
    <t>6. Diferencia Sujeta a Retención (4. - 5.)</t>
  </si>
  <si>
    <t>5. Ganancia Base para determinar la Retención (2. - 3.)</t>
  </si>
  <si>
    <t>7. Monto de la Retención (35% s/6.)</t>
  </si>
  <si>
    <t xml:space="preserve">Se trata de una retención a efectuar a los accionistas, cuando se paguen los dividendos que excedan las utilidades impositivas de la sociedad, lo que significa </t>
  </si>
  <si>
    <t>que se estarían distribuyendo utilidades contables que no han tributado el correspondiente Impuesto a las Ganancias.</t>
  </si>
  <si>
    <t>Cálculo del IMPUESTO DE IGUALACIÓN. (Referencia: DC 7)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</si>
  <si>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52, 67, 69, 69.1, 73, 82, 83, 84, 87, 88 LIG; Arts. 96, 103, 136, 139, 140, 141, 142 DR</t>
    </r>
  </si>
  <si>
    <t>Amortizaciones Ej. 2013:</t>
  </si>
  <si>
    <t>Trimestres Transcurridos: 1</t>
  </si>
  <si>
    <t>Amort. Inmueble =</t>
  </si>
  <si>
    <t>Amort. Máquina =</t>
  </si>
  <si>
    <t xml:space="preserve">5TO- Cálculo de las Amortizaciones </t>
  </si>
  <si>
    <t>Amortizaciones Ej. 2014-2017:</t>
  </si>
  <si>
    <t>Proporción afectada a la compra del nvo. Inm. =</t>
  </si>
  <si>
    <t>2DO- Cálculo de Amortizaciones</t>
  </si>
  <si>
    <r>
      <rPr>
        <b/>
        <u/>
        <sz val="11"/>
        <rFont val="Calibri"/>
        <family val="2"/>
        <scheme val="minor"/>
      </rPr>
      <t>Amortizaciones Ej. 2013</t>
    </r>
    <r>
      <rPr>
        <b/>
        <sz val="11"/>
        <rFont val="Calibri"/>
        <family val="2"/>
        <scheme val="minor"/>
      </rPr>
      <t>:</t>
    </r>
  </si>
  <si>
    <t>Resultado Neto Contable</t>
  </si>
  <si>
    <t>Anulación Ut. Contable de la Vta. del Inmueble</t>
  </si>
  <si>
    <t>Fuentes:</t>
  </si>
  <si>
    <t>Fuente:</t>
  </si>
  <si>
    <t xml:space="preserve">Fuentes: </t>
  </si>
  <si>
    <t>Trim.</t>
  </si>
  <si>
    <t>Amort. Acum. =</t>
  </si>
  <si>
    <t>Proporción afectada a la compra de la nva. Maq. =</t>
  </si>
  <si>
    <t>Afectación de la utilidad al costo del nuevo Inm. =</t>
  </si>
  <si>
    <t>Afectación de la utilidad al costo de la nueva Maq. =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</si>
</sst>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0.0%"/>
    <numFmt numFmtId="165" formatCode="#,##0.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9"/>
      <color rgb="FF000000"/>
      <name val="Verdana"/>
      <family val="2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3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4" fontId="0" fillId="0" borderId="0" xfId="0" applyNumberFormat="1" applyAlignment="1"/>
    <xf numFmtId="4" fontId="0" fillId="0" borderId="7" xfId="0" quotePrefix="1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2" fillId="0" borderId="0" xfId="0" applyNumberFormat="1" applyFont="1"/>
    <xf numFmtId="44" fontId="0" fillId="0" borderId="10" xfId="1" applyFont="1" applyBorder="1"/>
    <xf numFmtId="44" fontId="0" fillId="0" borderId="11" xfId="1" applyFont="1" applyBorder="1"/>
    <xf numFmtId="44" fontId="0" fillId="0" borderId="9" xfId="1" applyFont="1" applyBorder="1"/>
    <xf numFmtId="4" fontId="1" fillId="0" borderId="9" xfId="0" applyNumberFormat="1" applyFont="1" applyBorder="1"/>
    <xf numFmtId="4" fontId="1" fillId="0" borderId="9" xfId="0" applyNumberFormat="1" applyFont="1" applyBorder="1" applyAlignment="1">
      <alignment horizontal="center"/>
    </xf>
    <xf numFmtId="0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/>
    <xf numFmtId="4" fontId="1" fillId="0" borderId="14" xfId="0" applyNumberFormat="1" applyFont="1" applyBorder="1"/>
    <xf numFmtId="4" fontId="1" fillId="0" borderId="5" xfId="0" applyNumberFormat="1" applyFont="1" applyBorder="1"/>
    <xf numFmtId="4" fontId="1" fillId="0" borderId="12" xfId="0" applyNumberFormat="1" applyFont="1" applyBorder="1"/>
    <xf numFmtId="4" fontId="1" fillId="0" borderId="0" xfId="0" applyNumberFormat="1" applyFont="1" applyBorder="1"/>
    <xf numFmtId="44" fontId="0" fillId="0" borderId="0" xfId="1" applyFont="1"/>
    <xf numFmtId="44" fontId="0" fillId="0" borderId="7" xfId="1" applyFont="1" applyBorder="1"/>
    <xf numFmtId="4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Border="1"/>
    <xf numFmtId="0" fontId="0" fillId="0" borderId="0" xfId="0" applyNumberFormat="1" applyBorder="1" applyAlignment="1">
      <alignment horizontal="center"/>
    </xf>
    <xf numFmtId="4" fontId="0" fillId="0" borderId="12" xfId="0" applyNumberFormat="1" applyBorder="1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" fontId="0" fillId="0" borderId="17" xfId="0" applyNumberFormat="1" applyBorder="1"/>
    <xf numFmtId="0" fontId="0" fillId="0" borderId="17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2" fillId="0" borderId="0" xfId="0" applyNumberFormat="1" applyFont="1" applyBorder="1" applyAlignment="1"/>
    <xf numFmtId="44" fontId="0" fillId="0" borderId="0" xfId="1" applyFont="1" applyBorder="1"/>
    <xf numFmtId="4" fontId="1" fillId="0" borderId="17" xfId="0" applyNumberFormat="1" applyFont="1" applyBorder="1"/>
    <xf numFmtId="4" fontId="1" fillId="2" borderId="21" xfId="0" applyNumberFormat="1" applyFont="1" applyFill="1" applyBorder="1"/>
    <xf numFmtId="4" fontId="1" fillId="2" borderId="22" xfId="0" applyNumberFormat="1" applyFont="1" applyFill="1" applyBorder="1"/>
    <xf numFmtId="4" fontId="1" fillId="2" borderId="23" xfId="0" applyNumberFormat="1" applyFont="1" applyFill="1" applyBorder="1"/>
    <xf numFmtId="4" fontId="3" fillId="0" borderId="0" xfId="0" applyNumberFormat="1" applyFont="1" applyBorder="1"/>
    <xf numFmtId="4" fontId="6" fillId="3" borderId="15" xfId="0" applyNumberFormat="1" applyFont="1" applyFill="1" applyBorder="1"/>
    <xf numFmtId="4" fontId="6" fillId="3" borderId="8" xfId="0" applyNumberFormat="1" applyFont="1" applyFill="1" applyBorder="1"/>
    <xf numFmtId="4" fontId="7" fillId="3" borderId="8" xfId="0" applyNumberFormat="1" applyFont="1" applyFill="1" applyBorder="1"/>
    <xf numFmtId="4" fontId="7" fillId="3" borderId="16" xfId="0" applyNumberFormat="1" applyFont="1" applyFill="1" applyBorder="1"/>
    <xf numFmtId="44" fontId="1" fillId="0" borderId="0" xfId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9" fontId="1" fillId="0" borderId="0" xfId="2" applyFont="1"/>
    <xf numFmtId="44" fontId="8" fillId="0" borderId="0" xfId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9" xfId="0" applyNumberFormat="1" applyBorder="1"/>
    <xf numFmtId="4" fontId="0" fillId="0" borderId="9" xfId="0" applyNumberForma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0" fillId="0" borderId="24" xfId="0" applyNumberFormat="1" applyBorder="1"/>
    <xf numFmtId="4" fontId="0" fillId="0" borderId="25" xfId="0" applyNumberFormat="1" applyBorder="1"/>
    <xf numFmtId="4" fontId="0" fillId="0" borderId="6" xfId="0" applyNumberFormat="1" applyBorder="1"/>
    <xf numFmtId="4" fontId="0" fillId="0" borderId="5" xfId="0" applyNumberFormat="1" applyBorder="1"/>
    <xf numFmtId="4" fontId="1" fillId="3" borderId="21" xfId="0" applyNumberFormat="1" applyFont="1" applyFill="1" applyBorder="1"/>
    <xf numFmtId="4" fontId="1" fillId="3" borderId="22" xfId="0" applyNumberFormat="1" applyFont="1" applyFill="1" applyBorder="1"/>
    <xf numFmtId="4" fontId="0" fillId="3" borderId="23" xfId="0" applyNumberFormat="1" applyFill="1" applyBorder="1"/>
    <xf numFmtId="4" fontId="1" fillId="0" borderId="9" xfId="0" applyNumberFormat="1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0" fillId="0" borderId="15" xfId="0" applyNumberFormat="1" applyBorder="1"/>
    <xf numFmtId="4" fontId="0" fillId="0" borderId="16" xfId="0" applyNumberFormat="1" applyBorder="1"/>
    <xf numFmtId="4" fontId="0" fillId="0" borderId="9" xfId="0" applyNumberFormat="1" applyBorder="1" applyAlignment="1">
      <alignment horizontal="center"/>
    </xf>
    <xf numFmtId="4" fontId="0" fillId="0" borderId="18" xfId="0" applyNumberFormat="1" applyBorder="1"/>
    <xf numFmtId="4" fontId="0" fillId="0" borderId="33" xfId="0" applyNumberFormat="1" applyBorder="1"/>
    <xf numFmtId="0" fontId="0" fillId="0" borderId="9" xfId="0" applyNumberFormat="1" applyBorder="1"/>
    <xf numFmtId="0" fontId="0" fillId="0" borderId="9" xfId="0" applyNumberFormat="1" applyBorder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44" fontId="0" fillId="0" borderId="12" xfId="1" applyFont="1" applyBorder="1"/>
    <xf numFmtId="4" fontId="0" fillId="0" borderId="19" xfId="0" quotePrefix="1" applyNumberFormat="1" applyBorder="1"/>
    <xf numFmtId="44" fontId="0" fillId="0" borderId="20" xfId="1" applyFont="1" applyBorder="1"/>
    <xf numFmtId="44" fontId="0" fillId="0" borderId="13" xfId="1" applyFont="1" applyBorder="1"/>
    <xf numFmtId="44" fontId="0" fillId="0" borderId="32" xfId="1" applyFont="1" applyBorder="1"/>
    <xf numFmtId="4" fontId="1" fillId="0" borderId="16" xfId="0" applyNumberFormat="1" applyFont="1" applyBorder="1"/>
    <xf numFmtId="4" fontId="1" fillId="2" borderId="15" xfId="0" applyNumberFormat="1" applyFont="1" applyFill="1" applyBorder="1"/>
    <xf numFmtId="4" fontId="1" fillId="2" borderId="8" xfId="0" applyNumberFormat="1" applyFont="1" applyFill="1" applyBorder="1"/>
    <xf numFmtId="4" fontId="1" fillId="2" borderId="16" xfId="0" applyNumberFormat="1" applyFont="1" applyFill="1" applyBorder="1"/>
    <xf numFmtId="14" fontId="0" fillId="0" borderId="0" xfId="0" applyNumberFormat="1"/>
    <xf numFmtId="4" fontId="0" fillId="0" borderId="0" xfId="0" applyNumberFormat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14" fontId="0" fillId="0" borderId="9" xfId="0" applyNumberFormat="1" applyBorder="1"/>
    <xf numFmtId="4" fontId="0" fillId="0" borderId="0" xfId="0" quotePrefix="1" applyNumberFormat="1" applyAlignment="1">
      <alignment horizontal="center"/>
    </xf>
    <xf numFmtId="44" fontId="8" fillId="0" borderId="0" xfId="1" applyFont="1"/>
    <xf numFmtId="4" fontId="0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44" fontId="0" fillId="0" borderId="19" xfId="1" applyFont="1" applyBorder="1"/>
    <xf numFmtId="44" fontId="0" fillId="0" borderId="15" xfId="1" applyFont="1" applyBorder="1"/>
    <xf numFmtId="44" fontId="5" fillId="0" borderId="0" xfId="1" applyFont="1"/>
    <xf numFmtId="0" fontId="0" fillId="0" borderId="5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4" fontId="0" fillId="0" borderId="7" xfId="0" applyNumberFormat="1" applyFont="1" applyBorder="1"/>
    <xf numFmtId="3" fontId="0" fillId="0" borderId="7" xfId="0" applyNumberFormat="1" applyFont="1" applyBorder="1"/>
    <xf numFmtId="4" fontId="0" fillId="0" borderId="0" xfId="0" applyNumberFormat="1" applyFont="1" applyBorder="1"/>
    <xf numFmtId="3" fontId="0" fillId="0" borderId="0" xfId="0" applyNumberFormat="1" applyFont="1" applyBorder="1"/>
    <xf numFmtId="0" fontId="0" fillId="0" borderId="16" xfId="0" applyNumberFormat="1" applyBorder="1" applyAlignment="1">
      <alignment horizontal="center"/>
    </xf>
    <xf numFmtId="164" fontId="0" fillId="0" borderId="0" xfId="2" applyNumberFormat="1" applyFont="1"/>
    <xf numFmtId="4" fontId="0" fillId="0" borderId="0" xfId="0" quotePrefix="1" applyNumberFormat="1"/>
    <xf numFmtId="3" fontId="0" fillId="0" borderId="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3" fontId="0" fillId="0" borderId="12" xfId="0" applyNumberFormat="1" applyBorder="1" applyAlignment="1">
      <alignment horizontal="left"/>
    </xf>
    <xf numFmtId="4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left"/>
    </xf>
    <xf numFmtId="44" fontId="0" fillId="0" borderId="8" xfId="1" applyFont="1" applyBorder="1"/>
    <xf numFmtId="3" fontId="0" fillId="0" borderId="7" xfId="0" applyNumberFormat="1" applyBorder="1"/>
    <xf numFmtId="4" fontId="0" fillId="0" borderId="39" xfId="0" applyNumberFormat="1" applyBorder="1"/>
    <xf numFmtId="0" fontId="0" fillId="0" borderId="40" xfId="0" applyNumberFormat="1" applyBorder="1" applyAlignment="1">
      <alignment horizontal="center"/>
    </xf>
    <xf numFmtId="4" fontId="0" fillId="2" borderId="8" xfId="0" applyNumberFormat="1" applyFill="1" applyBorder="1"/>
    <xf numFmtId="4" fontId="0" fillId="2" borderId="16" xfId="0" applyNumberFormat="1" applyFill="1" applyBorder="1"/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4" fontId="1" fillId="2" borderId="35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4" fontId="1" fillId="2" borderId="29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horizontal="center"/>
    </xf>
    <xf numFmtId="4" fontId="1" fillId="2" borderId="41" xfId="0" applyNumberFormat="1" applyFont="1" applyFill="1" applyBorder="1"/>
    <xf numFmtId="4" fontId="1" fillId="2" borderId="42" xfId="0" applyNumberFormat="1" applyFont="1" applyFill="1" applyBorder="1"/>
    <xf numFmtId="4" fontId="1" fillId="2" borderId="43" xfId="0" applyNumberFormat="1" applyFont="1" applyFill="1" applyBorder="1"/>
    <xf numFmtId="4" fontId="0" fillId="2" borderId="27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4" fontId="1" fillId="2" borderId="39" xfId="0" applyNumberFormat="1" applyFont="1" applyFill="1" applyBorder="1"/>
    <xf numFmtId="0" fontId="1" fillId="2" borderId="4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/>
    <xf numFmtId="4" fontId="0" fillId="0" borderId="0" xfId="0" applyNumberFormat="1" applyAlignment="1">
      <alignment horizontal="center"/>
    </xf>
    <xf numFmtId="4" fontId="11" fillId="0" borderId="0" xfId="0" applyNumberFormat="1" applyFont="1"/>
    <xf numFmtId="4" fontId="0" fillId="0" borderId="0" xfId="0" applyNumberFormat="1" applyAlignment="1">
      <alignment horizontal="center"/>
    </xf>
    <xf numFmtId="4" fontId="1" fillId="0" borderId="9" xfId="0" applyNumberFormat="1" applyFont="1" applyBorder="1" applyAlignment="1">
      <alignment horizontal="left"/>
    </xf>
    <xf numFmtId="4" fontId="0" fillId="0" borderId="9" xfId="0" applyNumberFormat="1" applyBorder="1" applyAlignment="1">
      <alignment horizontal="left"/>
    </xf>
    <xf numFmtId="4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17" xfId="1" applyFont="1" applyBorder="1"/>
    <xf numFmtId="4" fontId="1" fillId="0" borderId="32" xfId="0" applyNumberFormat="1" applyFont="1" applyBorder="1"/>
    <xf numFmtId="44" fontId="0" fillId="0" borderId="33" xfId="1" applyFont="1" applyBorder="1"/>
    <xf numFmtId="0" fontId="12" fillId="0" borderId="0" xfId="0" applyFont="1"/>
    <xf numFmtId="4" fontId="3" fillId="0" borderId="0" xfId="0" applyNumberFormat="1" applyFont="1"/>
    <xf numFmtId="4" fontId="6" fillId="0" borderId="0" xfId="0" applyNumberFormat="1" applyFont="1" applyFill="1" applyBorder="1"/>
    <xf numFmtId="4" fontId="7" fillId="0" borderId="0" xfId="0" applyNumberFormat="1" applyFont="1" applyFill="1" applyBorder="1"/>
    <xf numFmtId="4" fontId="0" fillId="0" borderId="4" xfId="0" applyNumberFormat="1" applyBorder="1"/>
    <xf numFmtId="4" fontId="1" fillId="3" borderId="46" xfId="0" applyNumberFormat="1" applyFont="1" applyFill="1" applyBorder="1"/>
    <xf numFmtId="4" fontId="1" fillId="3" borderId="47" xfId="0" applyNumberFormat="1" applyFont="1" applyFill="1" applyBorder="1"/>
    <xf numFmtId="44" fontId="1" fillId="0" borderId="9" xfId="1" applyFont="1" applyBorder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" fontId="0" fillId="0" borderId="0" xfId="0" applyNumberFormat="1" applyAlignment="1">
      <alignment horizontal="center"/>
    </xf>
    <xf numFmtId="4" fontId="1" fillId="0" borderId="15" xfId="0" applyNumberFormat="1" applyFont="1" applyBorder="1" applyAlignment="1">
      <alignment horizontal="left"/>
    </xf>
    <xf numFmtId="4" fontId="1" fillId="0" borderId="8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left"/>
    </xf>
    <xf numFmtId="4" fontId="0" fillId="0" borderId="7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7" xfId="1" applyFont="1" applyBorder="1" applyAlignment="1">
      <alignment horizontal="center"/>
    </xf>
    <xf numFmtId="44" fontId="1" fillId="0" borderId="0" xfId="1" applyFont="1" applyAlignment="1">
      <alignment horizontal="center"/>
    </xf>
    <xf numFmtId="4" fontId="0" fillId="0" borderId="9" xfId="0" applyNumberFormat="1" applyBorder="1" applyAlignment="1">
      <alignment horizontal="left"/>
    </xf>
    <xf numFmtId="4" fontId="1" fillId="0" borderId="9" xfId="0" applyNumberFormat="1" applyFont="1" applyBorder="1" applyAlignment="1">
      <alignment horizontal="left"/>
    </xf>
    <xf numFmtId="4" fontId="1" fillId="3" borderId="45" xfId="0" applyNumberFormat="1" applyFont="1" applyFill="1" applyBorder="1" applyAlignment="1">
      <alignment horizontal="center"/>
    </xf>
    <xf numFmtId="4" fontId="1" fillId="3" borderId="46" xfId="0" applyNumberFormat="1" applyFont="1" applyFill="1" applyBorder="1" applyAlignment="1">
      <alignment horizontal="center"/>
    </xf>
    <xf numFmtId="4" fontId="0" fillId="0" borderId="15" xfId="0" applyNumberFormat="1" applyBorder="1" applyAlignment="1">
      <alignment horizontal="left"/>
    </xf>
    <xf numFmtId="4" fontId="0" fillId="0" borderId="8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4" fontId="0" fillId="0" borderId="9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2" borderId="29" xfId="0" applyNumberFormat="1" applyFont="1" applyFill="1" applyBorder="1" applyAlignment="1">
      <alignment horizontal="center"/>
    </xf>
    <xf numFmtId="4" fontId="1" fillId="2" borderId="28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4" fontId="0" fillId="0" borderId="16" xfId="0" applyNumberFormat="1" applyBorder="1" applyAlignment="1">
      <alignment horizontal="center"/>
    </xf>
    <xf numFmtId="4" fontId="1" fillId="2" borderId="30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4" fontId="0" fillId="0" borderId="0" xfId="1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44" fontId="1" fillId="2" borderId="15" xfId="1" applyFont="1" applyFill="1" applyBorder="1" applyAlignment="1">
      <alignment horizontal="center"/>
    </xf>
    <xf numFmtId="44" fontId="1" fillId="2" borderId="16" xfId="1" applyFon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16" xfId="1" applyFont="1" applyBorder="1" applyAlignment="1">
      <alignment horizontal="center"/>
    </xf>
    <xf numFmtId="4" fontId="0" fillId="2" borderId="44" xfId="0" applyNumberFormat="1" applyFill="1" applyBorder="1" applyAlignment="1">
      <alignment horizontal="center" vertical="center"/>
    </xf>
    <xf numFmtId="4" fontId="0" fillId="2" borderId="43" xfId="0" applyNumberFormat="1" applyFill="1" applyBorder="1" applyAlignment="1">
      <alignment horizontal="center" vertical="center"/>
    </xf>
    <xf numFmtId="44" fontId="1" fillId="2" borderId="38" xfId="1" applyFont="1" applyFill="1" applyBorder="1" applyAlignment="1">
      <alignment horizontal="center"/>
    </xf>
    <xf numFmtId="44" fontId="1" fillId="2" borderId="37" xfId="1" applyFont="1" applyFill="1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1" fillId="2" borderId="44" xfId="1" applyFont="1" applyFill="1" applyBorder="1" applyAlignment="1">
      <alignment horizontal="center"/>
    </xf>
    <xf numFmtId="44" fontId="1" fillId="2" borderId="43" xfId="1" applyFont="1" applyFill="1" applyBorder="1" applyAlignment="1">
      <alignment horizontal="center"/>
    </xf>
    <xf numFmtId="4" fontId="1" fillId="2" borderId="38" xfId="0" applyNumberFormat="1" applyFont="1" applyFill="1" applyBorder="1" applyAlignment="1">
      <alignment horizontal="center" vertical="center"/>
    </xf>
    <xf numFmtId="4" fontId="1" fillId="2" borderId="37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18</xdr:row>
      <xdr:rowOff>114300</xdr:rowOff>
    </xdr:from>
    <xdr:to>
      <xdr:col>3</xdr:col>
      <xdr:colOff>47625</xdr:colOff>
      <xdr:row>32</xdr:row>
      <xdr:rowOff>19049</xdr:rowOff>
    </xdr:to>
    <xdr:sp macro="" textlink="">
      <xdr:nvSpPr>
        <xdr:cNvPr id="2" name="1 Abrir llave"/>
        <xdr:cNvSpPr/>
      </xdr:nvSpPr>
      <xdr:spPr>
        <a:xfrm>
          <a:off x="2266950" y="3571875"/>
          <a:ext cx="238125" cy="2571749"/>
        </a:xfrm>
        <a:prstGeom prst="leftBrace">
          <a:avLst>
            <a:gd name="adj1" fmla="val 97988"/>
            <a:gd name="adj2" fmla="val 525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3</xdr:col>
      <xdr:colOff>790574</xdr:colOff>
      <xdr:row>18</xdr:row>
      <xdr:rowOff>180975</xdr:rowOff>
    </xdr:from>
    <xdr:to>
      <xdr:col>4</xdr:col>
      <xdr:colOff>28574</xdr:colOff>
      <xdr:row>25</xdr:row>
      <xdr:rowOff>95250</xdr:rowOff>
    </xdr:to>
    <xdr:sp macro="" textlink="">
      <xdr:nvSpPr>
        <xdr:cNvPr id="3" name="2 Abrir llave"/>
        <xdr:cNvSpPr/>
      </xdr:nvSpPr>
      <xdr:spPr>
        <a:xfrm>
          <a:off x="4095749" y="3638550"/>
          <a:ext cx="104775" cy="1247775"/>
        </a:xfrm>
        <a:prstGeom prst="leftBrace">
          <a:avLst>
            <a:gd name="adj1" fmla="val 97988"/>
            <a:gd name="adj2" fmla="val 525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3</xdr:col>
      <xdr:colOff>847723</xdr:colOff>
      <xdr:row>26</xdr:row>
      <xdr:rowOff>0</xdr:rowOff>
    </xdr:from>
    <xdr:to>
      <xdr:col>4</xdr:col>
      <xdr:colOff>114299</xdr:colOff>
      <xdr:row>31</xdr:row>
      <xdr:rowOff>66675</xdr:rowOff>
    </xdr:to>
    <xdr:sp macro="" textlink="">
      <xdr:nvSpPr>
        <xdr:cNvPr id="4" name="3 Abrir llave"/>
        <xdr:cNvSpPr/>
      </xdr:nvSpPr>
      <xdr:spPr>
        <a:xfrm>
          <a:off x="3305173" y="4981575"/>
          <a:ext cx="114301" cy="1019175"/>
        </a:xfrm>
        <a:prstGeom prst="leftBrace">
          <a:avLst>
            <a:gd name="adj1" fmla="val 97988"/>
            <a:gd name="adj2" fmla="val 525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1</xdr:col>
      <xdr:colOff>419099</xdr:colOff>
      <xdr:row>18</xdr:row>
      <xdr:rowOff>152401</xdr:rowOff>
    </xdr:from>
    <xdr:to>
      <xdr:col>1</xdr:col>
      <xdr:colOff>676275</xdr:colOff>
      <xdr:row>32</xdr:row>
      <xdr:rowOff>19051</xdr:rowOff>
    </xdr:to>
    <xdr:sp macro="" textlink="">
      <xdr:nvSpPr>
        <xdr:cNvPr id="5" name="4 Abrir llave"/>
        <xdr:cNvSpPr/>
      </xdr:nvSpPr>
      <xdr:spPr>
        <a:xfrm>
          <a:off x="1238249" y="3609976"/>
          <a:ext cx="257176" cy="2533650"/>
        </a:xfrm>
        <a:prstGeom prst="leftBrace">
          <a:avLst>
            <a:gd name="adj1" fmla="val 97988"/>
            <a:gd name="adj2" fmla="val 5258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9</xdr:row>
      <xdr:rowOff>0</xdr:rowOff>
    </xdr:from>
    <xdr:to>
      <xdr:col>0</xdr:col>
      <xdr:colOff>323850</xdr:colOff>
      <xdr:row>12</xdr:row>
      <xdr:rowOff>9525</xdr:rowOff>
    </xdr:to>
    <xdr:cxnSp macro="">
      <xdr:nvCxnSpPr>
        <xdr:cNvPr id="3" name="2 Conector recto de flecha"/>
        <xdr:cNvCxnSpPr/>
      </xdr:nvCxnSpPr>
      <xdr:spPr>
        <a:xfrm flipH="1">
          <a:off x="314325" y="1752600"/>
          <a:ext cx="9525" cy="581025"/>
        </a:xfrm>
        <a:prstGeom prst="straightConnector1">
          <a:avLst/>
        </a:prstGeom>
        <a:ln>
          <a:solidFill>
            <a:sysClr val="windowText" lastClr="000000"/>
          </a:solidFill>
          <a:headEnd type="oval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485775</xdr:colOff>
      <xdr:row>9</xdr:row>
      <xdr:rowOff>0</xdr:rowOff>
    </xdr:from>
    <xdr:to>
      <xdr:col>7</xdr:col>
      <xdr:colOff>495301</xdr:colOff>
      <xdr:row>12</xdr:row>
      <xdr:rowOff>171450</xdr:rowOff>
    </xdr:to>
    <xdr:cxnSp macro="">
      <xdr:nvCxnSpPr>
        <xdr:cNvPr id="4" name="3 Conector recto de flecha"/>
        <xdr:cNvCxnSpPr/>
      </xdr:nvCxnSpPr>
      <xdr:spPr>
        <a:xfrm flipH="1">
          <a:off x="6219825" y="1752600"/>
          <a:ext cx="9526" cy="742950"/>
        </a:xfrm>
        <a:prstGeom prst="straightConnector1">
          <a:avLst/>
        </a:prstGeom>
        <a:ln>
          <a:solidFill>
            <a:sysClr val="windowText" lastClr="000000"/>
          </a:solidFill>
          <a:headEnd type="oval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8</xdr:row>
      <xdr:rowOff>190500</xdr:rowOff>
    </xdr:from>
    <xdr:to>
      <xdr:col>8</xdr:col>
      <xdr:colOff>371476</xdr:colOff>
      <xdr:row>16</xdr:row>
      <xdr:rowOff>133350</xdr:rowOff>
    </xdr:to>
    <xdr:cxnSp macro="">
      <xdr:nvCxnSpPr>
        <xdr:cNvPr id="6" name="5 Conector recto de flecha"/>
        <xdr:cNvCxnSpPr/>
      </xdr:nvCxnSpPr>
      <xdr:spPr>
        <a:xfrm flipH="1">
          <a:off x="6924675" y="1743075"/>
          <a:ext cx="1" cy="1476375"/>
        </a:xfrm>
        <a:prstGeom prst="straightConnector1">
          <a:avLst/>
        </a:prstGeom>
        <a:ln>
          <a:solidFill>
            <a:sysClr val="windowText" lastClr="000000"/>
          </a:solidFill>
          <a:headEnd type="oval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9</xdr:row>
      <xdr:rowOff>0</xdr:rowOff>
    </xdr:from>
    <xdr:to>
      <xdr:col>9</xdr:col>
      <xdr:colOff>314326</xdr:colOff>
      <xdr:row>11</xdr:row>
      <xdr:rowOff>152400</xdr:rowOff>
    </xdr:to>
    <xdr:cxnSp macro="">
      <xdr:nvCxnSpPr>
        <xdr:cNvPr id="8" name="7 Conector recto de flecha"/>
        <xdr:cNvCxnSpPr/>
      </xdr:nvCxnSpPr>
      <xdr:spPr>
        <a:xfrm flipH="1">
          <a:off x="7667625" y="1752600"/>
          <a:ext cx="19051" cy="533400"/>
        </a:xfrm>
        <a:prstGeom prst="straightConnector1">
          <a:avLst/>
        </a:prstGeom>
        <a:ln>
          <a:solidFill>
            <a:sysClr val="windowText" lastClr="000000"/>
          </a:solidFill>
          <a:headEnd type="oval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457200</xdr:colOff>
      <xdr:row>25</xdr:row>
      <xdr:rowOff>171450</xdr:rowOff>
    </xdr:from>
    <xdr:to>
      <xdr:col>9</xdr:col>
      <xdr:colOff>685800</xdr:colOff>
      <xdr:row>32</xdr:row>
      <xdr:rowOff>28575</xdr:rowOff>
    </xdr:to>
    <xdr:grpSp>
      <xdr:nvGrpSpPr>
        <xdr:cNvPr id="26" name="25 Grupo"/>
        <xdr:cNvGrpSpPr/>
      </xdr:nvGrpSpPr>
      <xdr:grpSpPr>
        <a:xfrm>
          <a:off x="6400800" y="4972050"/>
          <a:ext cx="2076450" cy="1190625"/>
          <a:chOff x="5648325" y="4438650"/>
          <a:chExt cx="2600325" cy="1724025"/>
        </a:xfrm>
      </xdr:grpSpPr>
      <xdr:grpSp>
        <xdr:nvGrpSpPr>
          <xdr:cNvPr id="24" name="23 Grupo"/>
          <xdr:cNvGrpSpPr/>
        </xdr:nvGrpSpPr>
        <xdr:grpSpPr>
          <a:xfrm>
            <a:off x="5762624" y="4714362"/>
            <a:ext cx="2309495" cy="1277497"/>
            <a:chOff x="904874" y="3104637"/>
            <a:chExt cx="2309495" cy="1277497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904874" y="3295650"/>
              <a:ext cx="762001" cy="861181"/>
            </a:xfrm>
            <a:prstGeom prst="rect">
              <a:avLst/>
            </a:prstGeom>
            <a:noFill/>
          </xdr:spPr>
        </xdr:pic>
        <xdr:grpSp>
          <xdr:nvGrpSpPr>
            <xdr:cNvPr id="23" name="22 Grupo"/>
            <xdr:cNvGrpSpPr/>
          </xdr:nvGrpSpPr>
          <xdr:grpSpPr>
            <a:xfrm>
              <a:off x="1762125" y="3104637"/>
              <a:ext cx="1452244" cy="1277497"/>
              <a:chOff x="1762125" y="3104637"/>
              <a:chExt cx="1452244" cy="1277497"/>
            </a:xfrm>
          </xdr:grpSpPr>
          <xdr:pic>
            <xdr:nvPicPr>
              <xdr:cNvPr id="11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2657475" y="3104637"/>
                <a:ext cx="400050" cy="452119"/>
              </a:xfrm>
              <a:prstGeom prst="rect">
                <a:avLst/>
              </a:prstGeom>
              <a:noFill/>
            </xdr:spPr>
          </xdr:pic>
          <xdr:pic>
            <xdr:nvPicPr>
              <xdr:cNvPr id="12" name="11 Imagen"/>
              <xdr:cNvPicPr/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  <a:grayscl/>
              </a:blip>
              <a:srcRect/>
              <a:stretch>
                <a:fillRect/>
              </a:stretch>
            </xdr:blipFill>
            <xdr:spPr bwMode="auto">
              <a:xfrm>
                <a:off x="2638424" y="3886199"/>
                <a:ext cx="575945" cy="49593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cxnSp macro="">
            <xdr:nvCxnSpPr>
              <xdr:cNvPr id="14" name="13 Conector recto"/>
              <xdr:cNvCxnSpPr/>
            </xdr:nvCxnSpPr>
            <xdr:spPr>
              <a:xfrm>
                <a:off x="1762125" y="3771900"/>
                <a:ext cx="600075" cy="0"/>
              </a:xfrm>
              <a:prstGeom prst="line">
                <a:avLst/>
              </a:prstGeom>
              <a:ln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" name="16 Conector recto de flecha"/>
              <xdr:cNvCxnSpPr/>
            </xdr:nvCxnSpPr>
            <xdr:spPr>
              <a:xfrm flipV="1">
                <a:off x="2371725" y="3476625"/>
                <a:ext cx="209550" cy="285750"/>
              </a:xfrm>
              <a:prstGeom prst="straightConnector1">
                <a:avLst/>
              </a:prstGeom>
              <a:ln>
                <a:solidFill>
                  <a:sysClr val="windowText" lastClr="000000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9" name="18 Conector recto de flecha"/>
              <xdr:cNvCxnSpPr/>
            </xdr:nvCxnSpPr>
            <xdr:spPr>
              <a:xfrm>
                <a:off x="2343150" y="3762375"/>
                <a:ext cx="238125" cy="238125"/>
              </a:xfrm>
              <a:prstGeom prst="straightConnector1">
                <a:avLst/>
              </a:prstGeom>
              <a:ln>
                <a:solidFill>
                  <a:sysClr val="windowText" lastClr="000000"/>
                </a:solidFill>
                <a:tailEnd type="arrow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sp macro="" textlink="">
        <xdr:nvSpPr>
          <xdr:cNvPr id="25" name="24 Rectángulo"/>
          <xdr:cNvSpPr/>
        </xdr:nvSpPr>
        <xdr:spPr>
          <a:xfrm>
            <a:off x="5648325" y="4438650"/>
            <a:ext cx="2600325" cy="17240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s-AR" sz="1100">
              <a:ln>
                <a:solidFill>
                  <a:sysClr val="windowText" lastClr="000000"/>
                </a:solidFill>
              </a:ln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162</xdr:row>
      <xdr:rowOff>0</xdr:rowOff>
    </xdr:from>
    <xdr:to>
      <xdr:col>5</xdr:col>
      <xdr:colOff>542924</xdr:colOff>
      <xdr:row>163</xdr:row>
      <xdr:rowOff>152400</xdr:rowOff>
    </xdr:to>
    <xdr:sp macro="" textlink="">
      <xdr:nvSpPr>
        <xdr:cNvPr id="2" name="1 Cerrar llave"/>
        <xdr:cNvSpPr/>
      </xdr:nvSpPr>
      <xdr:spPr>
        <a:xfrm>
          <a:off x="4695824" y="24679275"/>
          <a:ext cx="123825" cy="34290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3</xdr:col>
      <xdr:colOff>4763</xdr:colOff>
      <xdr:row>168</xdr:row>
      <xdr:rowOff>47625</xdr:rowOff>
    </xdr:from>
    <xdr:to>
      <xdr:col>6</xdr:col>
      <xdr:colOff>19050</xdr:colOff>
      <xdr:row>169</xdr:row>
      <xdr:rowOff>66675</xdr:rowOff>
    </xdr:to>
    <xdr:sp macro="" textlink="">
      <xdr:nvSpPr>
        <xdr:cNvPr id="3" name="2 Cerrar llave"/>
        <xdr:cNvSpPr/>
      </xdr:nvSpPr>
      <xdr:spPr>
        <a:xfrm rot="5400000">
          <a:off x="3750469" y="24657844"/>
          <a:ext cx="209550" cy="2633662"/>
        </a:xfrm>
        <a:prstGeom prst="rightBrace">
          <a:avLst>
            <a:gd name="adj1" fmla="val 8333"/>
            <a:gd name="adj2" fmla="val 53617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295274</xdr:colOff>
      <xdr:row>171</xdr:row>
      <xdr:rowOff>57150</xdr:rowOff>
    </xdr:from>
    <xdr:to>
      <xdr:col>6</xdr:col>
      <xdr:colOff>533399</xdr:colOff>
      <xdr:row>178</xdr:row>
      <xdr:rowOff>114300</xdr:rowOff>
    </xdr:to>
    <xdr:sp macro="" textlink="">
      <xdr:nvSpPr>
        <xdr:cNvPr id="4" name="3 Cerrar llave"/>
        <xdr:cNvSpPr/>
      </xdr:nvSpPr>
      <xdr:spPr>
        <a:xfrm>
          <a:off x="5448299" y="26450925"/>
          <a:ext cx="238125" cy="1390650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view="pageLayout" topLeftCell="A42" workbookViewId="0">
      <selection activeCell="A61" sqref="A61"/>
    </sheetView>
  </sheetViews>
  <sheetFormatPr baseColWidth="10" defaultColWidth="11.5703125" defaultRowHeight="15"/>
  <cols>
    <col min="1" max="3" width="11.5703125" style="1"/>
    <col min="4" max="4" width="11.85546875" style="1" customWidth="1"/>
    <col min="5" max="5" width="12.140625" style="1" customWidth="1"/>
    <col min="6" max="6" width="12.28515625" style="1" customWidth="1"/>
    <col min="7" max="16384" width="11.5703125" style="1"/>
  </cols>
  <sheetData>
    <row r="1" spans="1:11" ht="15.75">
      <c r="A1" s="3" t="s">
        <v>1</v>
      </c>
    </row>
    <row r="2" spans="1:11" ht="15.75" thickBot="1"/>
    <row r="3" spans="1:11">
      <c r="A3" s="162" t="s">
        <v>2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5.75" thickBo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6" spans="1:11">
      <c r="A6" s="1" t="s">
        <v>3</v>
      </c>
    </row>
    <row r="7" spans="1:11">
      <c r="A7" s="1" t="s">
        <v>36</v>
      </c>
    </row>
    <row r="8" spans="1:11">
      <c r="A8" s="1" t="s">
        <v>37</v>
      </c>
    </row>
    <row r="9" spans="1:11">
      <c r="A9" s="1" t="s">
        <v>38</v>
      </c>
    </row>
    <row r="10" spans="1:11">
      <c r="A10" s="1" t="s">
        <v>10</v>
      </c>
    </row>
    <row r="11" spans="1:11">
      <c r="A11" s="1" t="s">
        <v>8</v>
      </c>
    </row>
    <row r="12" spans="1:11">
      <c r="A12" s="1" t="s">
        <v>9</v>
      </c>
    </row>
    <row r="13" spans="1:11">
      <c r="A13" s="1" t="s">
        <v>13</v>
      </c>
    </row>
    <row r="14" spans="1:11">
      <c r="A14" s="1" t="s">
        <v>14</v>
      </c>
    </row>
    <row r="15" spans="1:11">
      <c r="A15" s="1" t="s">
        <v>11</v>
      </c>
    </row>
    <row r="18" spans="1:5">
      <c r="A18" s="1" t="s">
        <v>15</v>
      </c>
    </row>
    <row r="20" spans="1:5">
      <c r="E20" s="110" t="s">
        <v>417</v>
      </c>
    </row>
    <row r="21" spans="1:5">
      <c r="D21" s="144" t="s">
        <v>411</v>
      </c>
      <c r="E21" s="110" t="s">
        <v>416</v>
      </c>
    </row>
    <row r="22" spans="1:5">
      <c r="D22" s="144" t="s">
        <v>412</v>
      </c>
      <c r="E22" s="1" t="s">
        <v>415</v>
      </c>
    </row>
    <row r="23" spans="1:5">
      <c r="D23" s="146" t="s">
        <v>413</v>
      </c>
      <c r="E23" s="110" t="s">
        <v>418</v>
      </c>
    </row>
    <row r="24" spans="1:5">
      <c r="D24" s="146" t="s">
        <v>414</v>
      </c>
      <c r="E24" s="110" t="s">
        <v>419</v>
      </c>
    </row>
    <row r="25" spans="1:5">
      <c r="A25" s="1" t="s">
        <v>12</v>
      </c>
      <c r="C25" s="4" t="s">
        <v>421</v>
      </c>
      <c r="E25" s="110" t="s">
        <v>420</v>
      </c>
    </row>
    <row r="26" spans="1:5">
      <c r="A26" s="146" t="s">
        <v>426</v>
      </c>
      <c r="B26" s="168" t="s">
        <v>424</v>
      </c>
      <c r="C26" s="168"/>
    </row>
    <row r="27" spans="1:5">
      <c r="A27" s="146" t="s">
        <v>425</v>
      </c>
      <c r="C27" s="1" t="s">
        <v>422</v>
      </c>
      <c r="D27" s="144" t="s">
        <v>404</v>
      </c>
    </row>
    <row r="28" spans="1:5">
      <c r="A28" s="146"/>
      <c r="C28" s="1" t="s">
        <v>423</v>
      </c>
      <c r="D28" s="144" t="s">
        <v>405</v>
      </c>
      <c r="E28" s="1" t="s">
        <v>409</v>
      </c>
    </row>
    <row r="29" spans="1:5">
      <c r="A29" s="146"/>
      <c r="D29" s="144" t="s">
        <v>406</v>
      </c>
    </row>
    <row r="30" spans="1:5">
      <c r="A30" s="146"/>
      <c r="D30" s="144" t="s">
        <v>407</v>
      </c>
      <c r="E30" s="1" t="s">
        <v>410</v>
      </c>
    </row>
    <row r="31" spans="1:5">
      <c r="D31" s="144" t="s">
        <v>408</v>
      </c>
    </row>
    <row r="32" spans="1:5">
      <c r="A32" s="145"/>
    </row>
    <row r="33" spans="1:6">
      <c r="A33" s="145"/>
    </row>
    <row r="34" spans="1:6">
      <c r="A34" s="8" t="s">
        <v>16</v>
      </c>
    </row>
    <row r="35" spans="1:6">
      <c r="A35" s="1" t="s">
        <v>17</v>
      </c>
    </row>
    <row r="36" spans="1:6">
      <c r="A36" s="1" t="s">
        <v>18</v>
      </c>
    </row>
    <row r="37" spans="1:6">
      <c r="A37" s="1" t="s">
        <v>19</v>
      </c>
    </row>
    <row r="38" spans="1:6">
      <c r="A38" s="1" t="s">
        <v>23</v>
      </c>
    </row>
    <row r="39" spans="1:6">
      <c r="A39" s="1" t="s">
        <v>20</v>
      </c>
    </row>
    <row r="41" spans="1:6">
      <c r="A41" s="1" t="s">
        <v>427</v>
      </c>
    </row>
    <row r="42" spans="1:6">
      <c r="A42" s="1" t="s">
        <v>21</v>
      </c>
    </row>
    <row r="43" spans="1:6">
      <c r="A43" s="1" t="s">
        <v>22</v>
      </c>
    </row>
    <row r="45" spans="1:6">
      <c r="A45" s="8" t="s">
        <v>24</v>
      </c>
    </row>
    <row r="46" spans="1:6">
      <c r="A46" s="1" t="s">
        <v>25</v>
      </c>
    </row>
    <row r="47" spans="1:6">
      <c r="D47" s="12" t="s">
        <v>28</v>
      </c>
      <c r="E47" s="152" t="s">
        <v>31</v>
      </c>
      <c r="F47" s="152" t="s">
        <v>32</v>
      </c>
    </row>
    <row r="48" spans="1:6">
      <c r="A48" s="1" t="s">
        <v>26</v>
      </c>
      <c r="D48" s="151">
        <v>40500</v>
      </c>
      <c r="E48" s="83">
        <v>43000</v>
      </c>
      <c r="F48" s="153">
        <v>47000</v>
      </c>
    </row>
    <row r="49" spans="1:8">
      <c r="A49" s="5" t="s">
        <v>27</v>
      </c>
      <c r="B49" s="6"/>
      <c r="C49" s="6"/>
      <c r="D49" s="99">
        <v>-5000</v>
      </c>
      <c r="E49" s="10">
        <v>0</v>
      </c>
      <c r="F49" s="81">
        <v>0</v>
      </c>
    </row>
    <row r="50" spans="1:8">
      <c r="A50" s="7" t="s">
        <v>29</v>
      </c>
      <c r="B50" s="7"/>
      <c r="C50" s="7"/>
      <c r="D50" s="11">
        <f>+D48+D49</f>
        <v>35500</v>
      </c>
      <c r="E50" s="11">
        <f t="shared" ref="E50:F50" si="0">+E48+E49</f>
        <v>43000</v>
      </c>
      <c r="F50" s="11">
        <f t="shared" si="0"/>
        <v>47000</v>
      </c>
    </row>
    <row r="51" spans="1:8">
      <c r="A51" s="1" t="s">
        <v>30</v>
      </c>
      <c r="D51" s="10">
        <f>+D50*35%</f>
        <v>12425</v>
      </c>
      <c r="E51" s="10">
        <f t="shared" ref="E51:F51" si="1">+E50*35%</f>
        <v>15049.999999999998</v>
      </c>
      <c r="F51" s="10">
        <f t="shared" si="1"/>
        <v>16450</v>
      </c>
    </row>
    <row r="53" spans="1:8">
      <c r="A53" s="1" t="s">
        <v>33</v>
      </c>
    </row>
    <row r="54" spans="1:8">
      <c r="D54" s="13" t="s">
        <v>28</v>
      </c>
      <c r="E54" s="13" t="s">
        <v>31</v>
      </c>
      <c r="F54" s="13" t="s">
        <v>32</v>
      </c>
      <c r="H54" s="1" t="s">
        <v>332</v>
      </c>
    </row>
    <row r="55" spans="1:8">
      <c r="A55" s="1" t="s">
        <v>26</v>
      </c>
      <c r="D55" s="9">
        <v>40500</v>
      </c>
      <c r="E55" s="9">
        <v>43000</v>
      </c>
      <c r="F55" s="9">
        <v>47000</v>
      </c>
      <c r="H55" s="1" t="s">
        <v>333</v>
      </c>
    </row>
    <row r="56" spans="1:8">
      <c r="A56" s="5" t="s">
        <v>27</v>
      </c>
      <c r="B56" s="6"/>
      <c r="C56" s="6"/>
      <c r="D56" s="10">
        <f>+D49/3</f>
        <v>-1666.6666666666667</v>
      </c>
      <c r="E56" s="10">
        <v>-1666.6666666666667</v>
      </c>
      <c r="F56" s="10">
        <v>-1666.6666666666667</v>
      </c>
      <c r="H56" s="1" t="s">
        <v>334</v>
      </c>
    </row>
    <row r="57" spans="1:8">
      <c r="A57" s="7" t="s">
        <v>29</v>
      </c>
      <c r="B57" s="7"/>
      <c r="C57" s="7"/>
      <c r="D57" s="11">
        <f>+D55+D56</f>
        <v>38833.333333333336</v>
      </c>
      <c r="E57" s="11">
        <f t="shared" ref="E57:F57" si="2">+E55+E56</f>
        <v>41333.333333333336</v>
      </c>
      <c r="F57" s="11">
        <f t="shared" si="2"/>
        <v>45333.333333333336</v>
      </c>
      <c r="H57" s="1" t="s">
        <v>335</v>
      </c>
    </row>
    <row r="58" spans="1:8">
      <c r="A58" s="1" t="s">
        <v>30</v>
      </c>
      <c r="D58" s="10">
        <f>+D57*35%</f>
        <v>13591.666666666666</v>
      </c>
      <c r="E58" s="10">
        <f t="shared" ref="E58:F58" si="3">+E57*35%</f>
        <v>14466.666666666666</v>
      </c>
      <c r="F58" s="10">
        <f t="shared" si="3"/>
        <v>15866.666666666666</v>
      </c>
      <c r="H58" s="1" t="s">
        <v>336</v>
      </c>
    </row>
    <row r="61" spans="1:8">
      <c r="A61" s="1" t="s">
        <v>456</v>
      </c>
    </row>
    <row r="62" spans="1:8">
      <c r="A62" s="1" t="s">
        <v>7</v>
      </c>
    </row>
    <row r="63" spans="1:8">
      <c r="A63" s="1" t="s">
        <v>6</v>
      </c>
    </row>
    <row r="65" spans="1:1">
      <c r="A65" t="s">
        <v>4</v>
      </c>
    </row>
    <row r="66" spans="1:1">
      <c r="A66" s="1" t="s">
        <v>5</v>
      </c>
    </row>
  </sheetData>
  <mergeCells count="2">
    <mergeCell ref="A3:K4"/>
    <mergeCell ref="B26:C26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VI&amp;R&amp;"-,Negrita"&amp;K00-046Florencia I. Taier</oddHeader>
    <oddFooter>&amp;L&amp;G &amp;C&amp;"-,Negrita"&amp;K00-047UCC. FACEA. 
IMPUESTOS I. Cát. "B"&amp;R&amp;"-,Negrita"&amp;K00-047Página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Layout" topLeftCell="A10" workbookViewId="0">
      <selection activeCell="A32" sqref="A32"/>
    </sheetView>
  </sheetViews>
  <sheetFormatPr baseColWidth="10" defaultColWidth="11.5703125" defaultRowHeight="15"/>
  <cols>
    <col min="1" max="3" width="11.5703125" style="1"/>
    <col min="4" max="4" width="12.42578125" style="1" bestFit="1" customWidth="1"/>
    <col min="5" max="16384" width="11.5703125" style="1"/>
  </cols>
  <sheetData>
    <row r="1" spans="1:11" ht="15.75">
      <c r="A1" s="3" t="s">
        <v>34</v>
      </c>
    </row>
    <row r="2" spans="1:11" ht="15.75" thickBot="1"/>
    <row r="3" spans="1:11">
      <c r="A3" s="162" t="s">
        <v>49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5.75" thickBo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6" spans="1:11">
      <c r="A6" s="8" t="s">
        <v>35</v>
      </c>
    </row>
    <row r="7" spans="1:11">
      <c r="A7" s="1" t="s">
        <v>39</v>
      </c>
    </row>
    <row r="8" spans="1:11">
      <c r="A8" s="1" t="s">
        <v>40</v>
      </c>
    </row>
    <row r="9" spans="1:11">
      <c r="A9" s="1" t="s">
        <v>41</v>
      </c>
    </row>
    <row r="10" spans="1:11">
      <c r="A10" s="1" t="s">
        <v>42</v>
      </c>
    </row>
    <row r="11" spans="1:11">
      <c r="A11" s="1" t="s">
        <v>43</v>
      </c>
    </row>
    <row r="12" spans="1:11">
      <c r="A12" s="1" t="s">
        <v>48</v>
      </c>
    </row>
    <row r="13" spans="1:11">
      <c r="A13" s="1" t="s">
        <v>45</v>
      </c>
    </row>
    <row r="14" spans="1:11">
      <c r="A14" s="1" t="s">
        <v>44</v>
      </c>
    </row>
    <row r="16" spans="1:11">
      <c r="A16" s="8" t="s">
        <v>46</v>
      </c>
    </row>
    <row r="17" spans="1:8">
      <c r="A17" s="1" t="s">
        <v>47</v>
      </c>
    </row>
    <row r="18" spans="1:8">
      <c r="A18" s="2" t="s">
        <v>57</v>
      </c>
    </row>
    <row r="20" spans="1:8">
      <c r="A20" s="1" t="s">
        <v>50</v>
      </c>
    </row>
    <row r="21" spans="1:8">
      <c r="A21" s="1" t="s">
        <v>58</v>
      </c>
    </row>
    <row r="22" spans="1:8">
      <c r="A22" s="1" t="s">
        <v>51</v>
      </c>
      <c r="D22" s="14">
        <v>2011</v>
      </c>
    </row>
    <row r="23" spans="1:8">
      <c r="A23" s="1" t="s">
        <v>52</v>
      </c>
      <c r="D23" s="14">
        <v>2013</v>
      </c>
    </row>
    <row r="24" spans="1:8">
      <c r="A24" s="1" t="s">
        <v>53</v>
      </c>
      <c r="D24" s="14">
        <v>10</v>
      </c>
    </row>
    <row r="25" spans="1:8">
      <c r="A25" s="1" t="s">
        <v>428</v>
      </c>
      <c r="D25" s="14">
        <v>8</v>
      </c>
    </row>
    <row r="26" spans="1:8">
      <c r="A26" s="1" t="s">
        <v>54</v>
      </c>
      <c r="E26" s="1">
        <v>15000</v>
      </c>
    </row>
    <row r="27" spans="1:8">
      <c r="A27" s="1" t="s">
        <v>55</v>
      </c>
      <c r="E27" s="1">
        <f>+E26/D25</f>
        <v>1875</v>
      </c>
    </row>
    <row r="28" spans="1:8">
      <c r="A28" s="2" t="s">
        <v>59</v>
      </c>
      <c r="B28" s="2"/>
      <c r="C28" s="2"/>
      <c r="D28" s="2"/>
      <c r="E28" s="2"/>
      <c r="F28" s="2"/>
      <c r="G28" s="2"/>
      <c r="H28" s="2"/>
    </row>
    <row r="31" spans="1:8">
      <c r="A31" s="1" t="s">
        <v>457</v>
      </c>
    </row>
    <row r="32" spans="1:8">
      <c r="A32" s="1" t="s">
        <v>7</v>
      </c>
    </row>
    <row r="33" spans="1:1">
      <c r="A33" s="1" t="s">
        <v>6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VI&amp;R&amp;"-,Negrita"&amp;K00-046Florencia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tabSelected="1" view="pageLayout" topLeftCell="A43" zoomScaleNormal="100" workbookViewId="0">
      <selection activeCell="A66" sqref="A65:A66"/>
    </sheetView>
  </sheetViews>
  <sheetFormatPr baseColWidth="10" defaultColWidth="11.5703125" defaultRowHeight="15"/>
  <cols>
    <col min="1" max="1" width="6.7109375" style="1" customWidth="1"/>
    <col min="2" max="2" width="11" style="1" customWidth="1"/>
    <col min="3" max="3" width="10.7109375" style="1" customWidth="1"/>
    <col min="4" max="4" width="13.5703125" style="1" customWidth="1"/>
    <col min="5" max="5" width="13.85546875" style="1" customWidth="1"/>
    <col min="6" max="6" width="14" style="1" customWidth="1"/>
    <col min="7" max="7" width="13.85546875" style="1" customWidth="1"/>
    <col min="8" max="8" width="14" style="1" bestFit="1" customWidth="1"/>
    <col min="9" max="9" width="13.85546875" style="1" customWidth="1"/>
    <col min="10" max="10" width="7.7109375" style="1" customWidth="1"/>
    <col min="11" max="11" width="12.42578125" style="1" bestFit="1" customWidth="1"/>
    <col min="12" max="16384" width="11.5703125" style="1"/>
  </cols>
  <sheetData>
    <row r="1" spans="1:11" ht="15.75">
      <c r="A1" s="3" t="s">
        <v>56</v>
      </c>
    </row>
    <row r="2" spans="1:11" ht="15.75" thickBot="1"/>
    <row r="3" spans="1:11">
      <c r="A3" s="162" t="s">
        <v>60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5.75" thickBo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6" spans="1:11">
      <c r="A6" s="2" t="s">
        <v>0</v>
      </c>
    </row>
    <row r="7" spans="1:11">
      <c r="A7" s="2"/>
    </row>
    <row r="8" spans="1:11">
      <c r="A8" s="181">
        <v>40451</v>
      </c>
      <c r="B8" s="182"/>
      <c r="C8" s="17"/>
      <c r="D8" s="181">
        <v>40816</v>
      </c>
      <c r="E8" s="182"/>
      <c r="F8" s="17"/>
      <c r="G8" s="181">
        <v>41182</v>
      </c>
      <c r="H8" s="182"/>
      <c r="I8" s="17"/>
      <c r="J8" s="181">
        <v>41547</v>
      </c>
      <c r="K8" s="182"/>
    </row>
    <row r="9" spans="1:11" ht="15.75" thickBot="1">
      <c r="A9" s="18"/>
      <c r="B9" s="19"/>
      <c r="C9" s="19"/>
      <c r="D9" s="18"/>
      <c r="E9" s="19"/>
      <c r="F9" s="19"/>
      <c r="G9" s="18"/>
      <c r="H9" s="19"/>
      <c r="I9" s="19"/>
      <c r="J9" s="18"/>
      <c r="K9" s="19"/>
    </row>
    <row r="10" spans="1:11">
      <c r="A10" s="20"/>
      <c r="B10" s="21"/>
      <c r="C10" s="21"/>
      <c r="D10" s="20"/>
      <c r="E10" s="21"/>
      <c r="F10" s="21"/>
      <c r="G10" s="20"/>
      <c r="H10" s="2"/>
      <c r="I10" s="2"/>
      <c r="J10" s="20"/>
      <c r="K10" s="2"/>
    </row>
    <row r="11" spans="1:11">
      <c r="A11" s="180" t="s">
        <v>61</v>
      </c>
      <c r="B11" s="180"/>
      <c r="C11" s="2"/>
      <c r="D11" s="180" t="s">
        <v>62</v>
      </c>
      <c r="E11" s="180"/>
      <c r="F11" s="2"/>
      <c r="G11" s="180" t="s">
        <v>63</v>
      </c>
      <c r="H11" s="180"/>
      <c r="I11" s="2"/>
      <c r="J11" s="180" t="s">
        <v>64</v>
      </c>
      <c r="K11" s="180"/>
    </row>
    <row r="13" spans="1:11">
      <c r="A13" s="4" t="s">
        <v>65</v>
      </c>
      <c r="B13" s="4"/>
      <c r="G13" s="4" t="s">
        <v>69</v>
      </c>
      <c r="J13" s="4" t="s">
        <v>65</v>
      </c>
    </row>
    <row r="14" spans="1:11">
      <c r="A14" s="4" t="s">
        <v>68</v>
      </c>
      <c r="B14" s="4"/>
      <c r="G14" s="4" t="s">
        <v>68</v>
      </c>
      <c r="J14" s="4" t="s">
        <v>75</v>
      </c>
    </row>
    <row r="15" spans="1:11">
      <c r="A15" s="4" t="s">
        <v>66</v>
      </c>
      <c r="B15" s="4"/>
      <c r="G15" s="4" t="s">
        <v>70</v>
      </c>
      <c r="J15" s="4" t="s">
        <v>76</v>
      </c>
    </row>
    <row r="16" spans="1:11">
      <c r="A16" s="4" t="s">
        <v>67</v>
      </c>
      <c r="B16" s="4"/>
      <c r="G16" s="4" t="s">
        <v>71</v>
      </c>
      <c r="J16" s="4" t="s">
        <v>77</v>
      </c>
    </row>
    <row r="18" spans="1:11">
      <c r="I18" s="4" t="s">
        <v>65</v>
      </c>
    </row>
    <row r="19" spans="1:11">
      <c r="I19" s="4" t="s">
        <v>72</v>
      </c>
    </row>
    <row r="20" spans="1:11">
      <c r="I20" s="4" t="s">
        <v>73</v>
      </c>
    </row>
    <row r="21" spans="1:11">
      <c r="I21" s="4" t="s">
        <v>74</v>
      </c>
    </row>
    <row r="22" spans="1:11">
      <c r="I22" s="4"/>
    </row>
    <row r="23" spans="1:11">
      <c r="A23" s="2" t="s">
        <v>147</v>
      </c>
    </row>
    <row r="25" spans="1:11">
      <c r="A25" s="48" t="s">
        <v>78</v>
      </c>
      <c r="B25" s="49"/>
      <c r="C25" s="49"/>
      <c r="D25" s="49"/>
      <c r="E25" s="50"/>
      <c r="F25" s="50"/>
      <c r="G25" s="50"/>
      <c r="H25" s="50"/>
      <c r="I25" s="50"/>
      <c r="J25" s="50"/>
      <c r="K25" s="51"/>
    </row>
    <row r="28" spans="1:11">
      <c r="A28" s="1" t="s">
        <v>79</v>
      </c>
      <c r="F28" s="22">
        <f>1200000-24000</f>
        <v>1176000</v>
      </c>
    </row>
    <row r="29" spans="1:11">
      <c r="A29" s="6" t="s">
        <v>80</v>
      </c>
      <c r="B29" s="6"/>
      <c r="C29" s="6"/>
      <c r="D29" s="6"/>
      <c r="E29" s="6"/>
      <c r="F29" s="23">
        <f>-E44</f>
        <v>-815830</v>
      </c>
      <c r="G29" s="1" t="s">
        <v>83</v>
      </c>
    </row>
    <row r="30" spans="1:11">
      <c r="A30" s="2" t="s">
        <v>81</v>
      </c>
      <c r="B30" s="2"/>
      <c r="C30" s="2"/>
      <c r="D30" s="2"/>
      <c r="E30" s="2"/>
      <c r="F30" s="52">
        <f>SUM(F28:F29)</f>
        <v>360170</v>
      </c>
    </row>
    <row r="33" spans="1:11" ht="15.75" thickBot="1"/>
    <row r="34" spans="1:11" ht="15.75" thickBot="1">
      <c r="A34" s="44" t="s">
        <v>82</v>
      </c>
      <c r="B34" s="45"/>
      <c r="C34" s="45"/>
      <c r="D34" s="45"/>
      <c r="E34" s="45"/>
      <c r="F34" s="45"/>
      <c r="G34" s="45"/>
      <c r="H34" s="45"/>
      <c r="I34" s="45"/>
      <c r="J34" s="45"/>
      <c r="K34" s="46"/>
    </row>
    <row r="35" spans="1:11">
      <c r="A35" s="31"/>
      <c r="B35" s="34"/>
      <c r="C35" s="34"/>
      <c r="D35" s="34"/>
      <c r="E35" s="34"/>
      <c r="F35" s="34"/>
      <c r="G35" s="34"/>
      <c r="H35" s="39"/>
      <c r="I35" s="6" t="s">
        <v>88</v>
      </c>
      <c r="J35" s="6"/>
      <c r="K35" s="40"/>
    </row>
    <row r="36" spans="1:11">
      <c r="A36" s="43" t="s">
        <v>460</v>
      </c>
      <c r="B36" s="21"/>
      <c r="C36" s="47" t="s">
        <v>86</v>
      </c>
      <c r="D36" s="21"/>
      <c r="E36" s="21"/>
      <c r="F36" s="34"/>
      <c r="G36" s="34"/>
      <c r="H36" s="31"/>
      <c r="I36" s="32" t="s">
        <v>95</v>
      </c>
      <c r="J36" s="32" t="s">
        <v>94</v>
      </c>
      <c r="K36" s="33"/>
    </row>
    <row r="37" spans="1:11">
      <c r="A37" s="43"/>
      <c r="B37" s="21"/>
      <c r="C37" s="179" t="s">
        <v>85</v>
      </c>
      <c r="D37" s="179"/>
      <c r="E37" s="179"/>
      <c r="F37" s="34"/>
      <c r="G37" s="34"/>
      <c r="H37" s="31"/>
      <c r="I37" s="32" t="s">
        <v>96</v>
      </c>
      <c r="J37" s="32" t="s">
        <v>93</v>
      </c>
      <c r="K37" s="33"/>
    </row>
    <row r="38" spans="1:11">
      <c r="A38" s="31"/>
      <c r="B38" s="34"/>
      <c r="C38" s="34"/>
      <c r="D38" s="34"/>
      <c r="E38" s="34"/>
      <c r="F38" s="34"/>
      <c r="G38" s="34"/>
      <c r="H38" s="31"/>
      <c r="I38" s="32" t="s">
        <v>97</v>
      </c>
      <c r="J38" s="32" t="s">
        <v>92</v>
      </c>
      <c r="K38" s="33"/>
    </row>
    <row r="39" spans="1:11">
      <c r="A39" s="31" t="s">
        <v>87</v>
      </c>
      <c r="B39" s="34"/>
      <c r="C39" s="34"/>
      <c r="D39" s="34"/>
      <c r="E39" s="34"/>
      <c r="F39" s="34"/>
      <c r="G39" s="34"/>
      <c r="H39" s="31"/>
      <c r="I39" s="32" t="s">
        <v>98</v>
      </c>
      <c r="J39" s="32" t="s">
        <v>91</v>
      </c>
      <c r="K39" s="33"/>
    </row>
    <row r="40" spans="1:11">
      <c r="A40" s="31"/>
      <c r="B40" s="34"/>
      <c r="C40" s="34"/>
      <c r="D40" s="34"/>
      <c r="E40" s="34"/>
      <c r="F40" s="34"/>
      <c r="G40" s="34"/>
      <c r="H40" s="31"/>
      <c r="I40" s="34"/>
      <c r="J40" s="34"/>
      <c r="K40" s="36" t="s">
        <v>99</v>
      </c>
    </row>
    <row r="41" spans="1:11">
      <c r="A41" s="31" t="s">
        <v>84</v>
      </c>
      <c r="B41" s="34"/>
      <c r="C41" s="41" t="s">
        <v>106</v>
      </c>
      <c r="D41" s="34"/>
      <c r="E41" s="42">
        <f>+(850000*67%*J46)/200</f>
        <v>34170</v>
      </c>
      <c r="F41" s="34"/>
      <c r="G41" s="34"/>
      <c r="H41" s="31"/>
      <c r="I41" s="35" t="s">
        <v>89</v>
      </c>
      <c r="J41" s="24" t="s">
        <v>459</v>
      </c>
      <c r="K41" s="36" t="s">
        <v>100</v>
      </c>
    </row>
    <row r="42" spans="1:11">
      <c r="A42" s="31"/>
      <c r="B42" s="34"/>
      <c r="C42" s="175" t="s">
        <v>85</v>
      </c>
      <c r="D42" s="175"/>
      <c r="E42" s="34"/>
      <c r="F42" s="34"/>
      <c r="G42" s="34"/>
      <c r="H42" s="37">
        <v>41806</v>
      </c>
      <c r="I42" s="25">
        <v>2010</v>
      </c>
      <c r="J42" s="26">
        <v>2</v>
      </c>
      <c r="K42" s="36" t="s">
        <v>101</v>
      </c>
    </row>
    <row r="43" spans="1:11">
      <c r="A43" s="31"/>
      <c r="B43" s="34"/>
      <c r="C43" s="34"/>
      <c r="D43" s="34"/>
      <c r="E43" s="34"/>
      <c r="F43" s="34"/>
      <c r="G43" s="34"/>
      <c r="H43" s="38"/>
      <c r="I43" s="32">
        <v>2011</v>
      </c>
      <c r="J43" s="27">
        <v>4</v>
      </c>
      <c r="K43" s="36" t="s">
        <v>102</v>
      </c>
    </row>
    <row r="44" spans="1:11">
      <c r="A44" s="43" t="s">
        <v>107</v>
      </c>
      <c r="B44" s="21"/>
      <c r="C44" s="34" t="s">
        <v>108</v>
      </c>
      <c r="D44" s="34"/>
      <c r="E44" s="42">
        <f>850000-E41</f>
        <v>815830</v>
      </c>
      <c r="F44" s="34"/>
      <c r="G44" s="34"/>
      <c r="H44" s="38"/>
      <c r="I44" s="32">
        <v>2012</v>
      </c>
      <c r="J44" s="27">
        <v>4</v>
      </c>
      <c r="K44" s="36" t="s">
        <v>103</v>
      </c>
    </row>
    <row r="45" spans="1:11">
      <c r="A45" s="31"/>
      <c r="B45" s="34"/>
      <c r="C45" s="34"/>
      <c r="D45" s="34"/>
      <c r="E45" s="34"/>
      <c r="F45" s="34"/>
      <c r="G45" s="34"/>
      <c r="H45" s="37">
        <v>41762</v>
      </c>
      <c r="I45" s="29">
        <v>2013</v>
      </c>
      <c r="J45" s="30">
        <v>2</v>
      </c>
      <c r="K45" s="36" t="s">
        <v>104</v>
      </c>
    </row>
    <row r="46" spans="1:11">
      <c r="A46" s="31"/>
      <c r="B46" s="34"/>
      <c r="C46" s="34"/>
      <c r="D46" s="34"/>
      <c r="E46" s="34"/>
      <c r="F46" s="34"/>
      <c r="G46" s="34"/>
      <c r="H46" s="31"/>
      <c r="I46" s="34"/>
      <c r="J46" s="32">
        <f>SUM(J42:J45)</f>
        <v>12</v>
      </c>
      <c r="K46" s="36" t="s">
        <v>105</v>
      </c>
    </row>
    <row r="47" spans="1:11">
      <c r="A47" s="39"/>
      <c r="B47" s="6"/>
      <c r="C47" s="6"/>
      <c r="D47" s="6"/>
      <c r="E47" s="6"/>
      <c r="F47" s="6"/>
      <c r="G47" s="6"/>
      <c r="H47" s="39"/>
      <c r="I47" s="6"/>
      <c r="J47" s="6"/>
      <c r="K47" s="40"/>
    </row>
    <row r="50" spans="1:11">
      <c r="A50" s="48" t="s">
        <v>109</v>
      </c>
      <c r="B50" s="49"/>
      <c r="C50" s="49"/>
      <c r="D50" s="49"/>
      <c r="E50" s="50"/>
      <c r="F50" s="50"/>
      <c r="G50" s="50"/>
      <c r="H50" s="50"/>
      <c r="I50" s="50"/>
      <c r="J50" s="50"/>
      <c r="K50" s="51"/>
    </row>
    <row r="51" spans="1:11">
      <c r="A51" s="1" t="s">
        <v>113</v>
      </c>
    </row>
    <row r="53" spans="1:11">
      <c r="A53" s="1" t="s">
        <v>451</v>
      </c>
      <c r="E53" s="176" t="s">
        <v>111</v>
      </c>
      <c r="F53" s="176"/>
      <c r="G53" s="176"/>
      <c r="H53" s="53">
        <v>750000</v>
      </c>
      <c r="I53" s="55">
        <f>+H53/H54</f>
        <v>0.63775510204081631</v>
      </c>
    </row>
    <row r="54" spans="1:11">
      <c r="E54" s="1" t="s">
        <v>110</v>
      </c>
      <c r="H54" s="15">
        <f>+F28</f>
        <v>1176000</v>
      </c>
      <c r="I54" s="2"/>
    </row>
    <row r="55" spans="1:11">
      <c r="H55" s="15"/>
      <c r="I55" s="2"/>
    </row>
    <row r="56" spans="1:11">
      <c r="A56" s="1" t="s">
        <v>461</v>
      </c>
      <c r="E56" s="176" t="s">
        <v>112</v>
      </c>
      <c r="F56" s="176"/>
      <c r="G56" s="176"/>
      <c r="H56" s="53">
        <v>40000</v>
      </c>
      <c r="I56" s="55">
        <f>+H56/H57</f>
        <v>3.4013605442176874E-2</v>
      </c>
    </row>
    <row r="57" spans="1:11">
      <c r="E57" s="1" t="s">
        <v>110</v>
      </c>
      <c r="H57" s="15">
        <f>+F28</f>
        <v>1176000</v>
      </c>
      <c r="I57" s="2"/>
    </row>
    <row r="61" spans="1:11">
      <c r="A61" s="48" t="s">
        <v>114</v>
      </c>
      <c r="B61" s="49"/>
      <c r="C61" s="49"/>
      <c r="D61" s="49"/>
      <c r="E61" s="50"/>
      <c r="F61" s="50"/>
      <c r="G61" s="50"/>
      <c r="H61" s="50"/>
      <c r="I61" s="50"/>
      <c r="J61" s="50"/>
      <c r="K61" s="51"/>
    </row>
    <row r="63" spans="1:11">
      <c r="A63" s="1" t="s">
        <v>462</v>
      </c>
      <c r="E63" s="1" t="s">
        <v>115</v>
      </c>
      <c r="I63" s="1" t="s">
        <v>116</v>
      </c>
      <c r="K63" s="52">
        <f>+F30*I53</f>
        <v>229700.2551020408</v>
      </c>
    </row>
    <row r="64" spans="1:11">
      <c r="K64" s="52"/>
    </row>
    <row r="65" spans="1:11">
      <c r="A65" s="1" t="s">
        <v>463</v>
      </c>
      <c r="E65" s="1" t="s">
        <v>115</v>
      </c>
      <c r="I65" s="1" t="s">
        <v>117</v>
      </c>
      <c r="K65" s="52">
        <f>+F30*I56</f>
        <v>12250.680272108844</v>
      </c>
    </row>
    <row r="66" spans="1:11">
      <c r="K66" s="52"/>
    </row>
    <row r="67" spans="1:11">
      <c r="A67" s="48" t="s">
        <v>121</v>
      </c>
      <c r="B67" s="49"/>
      <c r="C67" s="49"/>
      <c r="D67" s="49"/>
      <c r="E67" s="50"/>
      <c r="F67" s="50"/>
      <c r="G67" s="50"/>
      <c r="H67" s="50"/>
      <c r="I67" s="50"/>
      <c r="J67" s="50"/>
      <c r="K67" s="51"/>
    </row>
    <row r="69" spans="1:11">
      <c r="A69" s="1" t="s">
        <v>122</v>
      </c>
      <c r="E69" s="22">
        <f>+F30</f>
        <v>360170</v>
      </c>
    </row>
    <row r="70" spans="1:11">
      <c r="A70" s="1" t="s">
        <v>430</v>
      </c>
      <c r="E70" s="22">
        <f>-K63</f>
        <v>-229700.2551020408</v>
      </c>
    </row>
    <row r="71" spans="1:11">
      <c r="A71" s="6" t="s">
        <v>429</v>
      </c>
      <c r="B71" s="6"/>
      <c r="C71" s="6"/>
      <c r="D71" s="6"/>
      <c r="E71" s="23">
        <f>-K65</f>
        <v>-12250.680272108844</v>
      </c>
    </row>
    <row r="72" spans="1:11">
      <c r="A72" s="2" t="s">
        <v>123</v>
      </c>
      <c r="B72" s="2"/>
      <c r="C72" s="2"/>
      <c r="D72" s="2"/>
      <c r="E72" s="52">
        <f>SUM(E69:E71)</f>
        <v>118219.06462585035</v>
      </c>
    </row>
    <row r="74" spans="1:11">
      <c r="A74" s="48" t="s">
        <v>449</v>
      </c>
      <c r="B74" s="49"/>
      <c r="C74" s="49"/>
      <c r="D74" s="49"/>
      <c r="E74" s="50"/>
      <c r="F74" s="50"/>
      <c r="G74" s="50"/>
      <c r="H74" s="50"/>
      <c r="I74" s="50"/>
      <c r="J74" s="50"/>
      <c r="K74" s="51"/>
    </row>
    <row r="76" spans="1:11">
      <c r="A76" s="1" t="s">
        <v>118</v>
      </c>
      <c r="D76" s="1">
        <f>+H53</f>
        <v>750000</v>
      </c>
      <c r="F76" s="1" t="s">
        <v>120</v>
      </c>
      <c r="I76" s="1">
        <f>+H56</f>
        <v>40000</v>
      </c>
    </row>
    <row r="77" spans="1:11">
      <c r="A77" s="6" t="s">
        <v>119</v>
      </c>
      <c r="B77" s="6"/>
      <c r="C77" s="6"/>
      <c r="D77" s="6">
        <f>-K63</f>
        <v>-229700.2551020408</v>
      </c>
      <c r="F77" s="6" t="s">
        <v>119</v>
      </c>
      <c r="G77" s="6"/>
      <c r="H77" s="6"/>
      <c r="I77" s="6">
        <f>-K65</f>
        <v>-12250.680272108844</v>
      </c>
    </row>
    <row r="78" spans="1:11">
      <c r="A78" s="2" t="s">
        <v>124</v>
      </c>
      <c r="B78" s="2"/>
      <c r="C78" s="2"/>
      <c r="D78" s="2">
        <f>SUM(D76:D77)</f>
        <v>520299.74489795917</v>
      </c>
      <c r="F78" s="2" t="s">
        <v>125</v>
      </c>
      <c r="G78" s="2"/>
      <c r="H78" s="2"/>
      <c r="I78" s="2">
        <f>SUM(I76:I77)</f>
        <v>27749.319727891154</v>
      </c>
    </row>
    <row r="80" spans="1:11">
      <c r="A80" s="155" t="s">
        <v>445</v>
      </c>
    </row>
    <row r="82" spans="1:9">
      <c r="A82" s="21" t="s">
        <v>447</v>
      </c>
      <c r="B82" s="21"/>
      <c r="C82" s="178" t="s">
        <v>137</v>
      </c>
      <c r="D82" s="178"/>
      <c r="E82" s="178"/>
      <c r="F82" s="178"/>
      <c r="G82" s="176" t="s">
        <v>138</v>
      </c>
      <c r="H82" s="176"/>
      <c r="I82" s="52">
        <f>+(850000*67%*2)/200</f>
        <v>5695</v>
      </c>
    </row>
    <row r="83" spans="1:9">
      <c r="A83" s="179" t="s">
        <v>136</v>
      </c>
      <c r="B83" s="179"/>
      <c r="C83" s="179" t="s">
        <v>85</v>
      </c>
      <c r="D83" s="179"/>
      <c r="E83" s="179"/>
      <c r="F83" s="179"/>
      <c r="G83" s="168" t="s">
        <v>85</v>
      </c>
      <c r="H83" s="168"/>
    </row>
    <row r="85" spans="1:9">
      <c r="A85" s="21" t="s">
        <v>447</v>
      </c>
      <c r="B85" s="21"/>
      <c r="C85" s="178" t="s">
        <v>128</v>
      </c>
      <c r="D85" s="178"/>
      <c r="E85" s="178"/>
      <c r="F85" s="178"/>
      <c r="G85" s="176" t="s">
        <v>139</v>
      </c>
      <c r="H85" s="176"/>
      <c r="I85" s="52">
        <f>+(D78*85%*1)/200</f>
        <v>2211.2739158163263</v>
      </c>
    </row>
    <row r="86" spans="1:9">
      <c r="A86" s="179" t="s">
        <v>134</v>
      </c>
      <c r="B86" s="179"/>
      <c r="C86" s="179" t="s">
        <v>85</v>
      </c>
      <c r="D86" s="179"/>
      <c r="E86" s="179"/>
      <c r="F86" s="179"/>
      <c r="G86" s="168" t="s">
        <v>85</v>
      </c>
      <c r="H86" s="168"/>
    </row>
    <row r="88" spans="1:9">
      <c r="A88" s="1" t="s">
        <v>126</v>
      </c>
    </row>
    <row r="89" spans="1:9">
      <c r="A89" s="1" t="s">
        <v>446</v>
      </c>
      <c r="C89" s="16"/>
    </row>
    <row r="91" spans="1:9" ht="17.25">
      <c r="A91" s="2" t="s">
        <v>448</v>
      </c>
      <c r="B91" s="2"/>
      <c r="C91" s="177" t="s">
        <v>129</v>
      </c>
      <c r="D91" s="177"/>
      <c r="E91" s="177"/>
      <c r="F91" s="56">
        <f>+I78</f>
        <v>27749.319727891154</v>
      </c>
      <c r="G91" s="52">
        <f>+F91/F92</f>
        <v>2774.9319727891152</v>
      </c>
    </row>
    <row r="92" spans="1:9">
      <c r="A92" s="180" t="s">
        <v>135</v>
      </c>
      <c r="B92" s="180"/>
      <c r="C92" s="180" t="s">
        <v>127</v>
      </c>
      <c r="D92" s="180"/>
      <c r="E92" s="180"/>
      <c r="F92" s="16">
        <v>10</v>
      </c>
    </row>
    <row r="94" spans="1:9">
      <c r="A94" s="155" t="s">
        <v>450</v>
      </c>
    </row>
    <row r="95" spans="1:9">
      <c r="A95" s="155"/>
    </row>
    <row r="96" spans="1:9">
      <c r="A96" s="21" t="s">
        <v>447</v>
      </c>
      <c r="B96" s="21"/>
      <c r="C96" s="178" t="s">
        <v>130</v>
      </c>
      <c r="D96" s="178"/>
      <c r="E96" s="178"/>
      <c r="F96" s="178"/>
      <c r="G96" s="176" t="s">
        <v>144</v>
      </c>
      <c r="H96" s="176"/>
      <c r="I96" s="52">
        <f>+(D78*85%*4)/200</f>
        <v>8845.0956632653051</v>
      </c>
    </row>
    <row r="97" spans="1:9">
      <c r="A97" s="21"/>
      <c r="B97" s="21"/>
      <c r="C97" s="179" t="s">
        <v>85</v>
      </c>
      <c r="D97" s="179"/>
      <c r="E97" s="179"/>
      <c r="F97" s="179"/>
      <c r="G97" s="168" t="s">
        <v>85</v>
      </c>
      <c r="H97" s="168"/>
    </row>
    <row r="99" spans="1:9" ht="17.25">
      <c r="A99" s="2" t="s">
        <v>448</v>
      </c>
      <c r="B99" s="2"/>
      <c r="C99" s="177" t="s">
        <v>129</v>
      </c>
      <c r="D99" s="177"/>
      <c r="E99" s="177"/>
      <c r="F99" s="56">
        <f>+I78</f>
        <v>27749.319727891154</v>
      </c>
      <c r="G99" s="52">
        <f>+F99/F100</f>
        <v>2774.9319727891152</v>
      </c>
    </row>
    <row r="100" spans="1:9">
      <c r="A100" s="2"/>
      <c r="B100" s="2"/>
      <c r="C100" s="180" t="s">
        <v>127</v>
      </c>
      <c r="D100" s="180"/>
      <c r="E100" s="180"/>
      <c r="F100" s="16">
        <v>10</v>
      </c>
    </row>
    <row r="101" spans="1:9" ht="15.75" thickBot="1"/>
    <row r="102" spans="1:9" ht="15.75" thickBot="1">
      <c r="A102" s="188" t="s">
        <v>155</v>
      </c>
      <c r="B102" s="189"/>
      <c r="C102" s="189"/>
      <c r="D102" s="189"/>
      <c r="E102" s="159" t="s">
        <v>28</v>
      </c>
      <c r="F102" s="159" t="s">
        <v>31</v>
      </c>
      <c r="G102" s="159" t="s">
        <v>32</v>
      </c>
      <c r="H102" s="159" t="s">
        <v>142</v>
      </c>
      <c r="I102" s="160" t="s">
        <v>143</v>
      </c>
    </row>
    <row r="103" spans="1:9">
      <c r="A103" s="172" t="s">
        <v>454</v>
      </c>
      <c r="B103" s="173"/>
      <c r="C103" s="173"/>
      <c r="D103" s="174"/>
      <c r="E103" s="10">
        <v>1150000</v>
      </c>
      <c r="F103" s="10">
        <v>1150000</v>
      </c>
      <c r="G103" s="10">
        <v>1150000</v>
      </c>
      <c r="H103" s="10">
        <v>1150000</v>
      </c>
      <c r="I103" s="10">
        <v>1150000</v>
      </c>
    </row>
    <row r="104" spans="1:9">
      <c r="A104" s="190" t="s">
        <v>455</v>
      </c>
      <c r="B104" s="191"/>
      <c r="C104" s="191"/>
      <c r="D104" s="192"/>
      <c r="E104" s="11">
        <v>-850000</v>
      </c>
      <c r="F104" s="11"/>
      <c r="G104" s="11"/>
      <c r="H104" s="11"/>
      <c r="I104" s="11"/>
    </row>
    <row r="105" spans="1:9">
      <c r="A105" s="186" t="s">
        <v>131</v>
      </c>
      <c r="B105" s="186"/>
      <c r="C105" s="186"/>
      <c r="D105" s="186"/>
      <c r="E105" s="11">
        <v>118219.06462585035</v>
      </c>
      <c r="F105" s="11"/>
      <c r="G105" s="11"/>
      <c r="H105" s="11"/>
      <c r="I105" s="11"/>
    </row>
    <row r="106" spans="1:9">
      <c r="A106" s="186" t="s">
        <v>132</v>
      </c>
      <c r="B106" s="186"/>
      <c r="C106" s="186"/>
      <c r="D106" s="186"/>
      <c r="E106" s="11">
        <v>-5695</v>
      </c>
      <c r="F106" s="11"/>
      <c r="G106" s="11"/>
      <c r="H106" s="11"/>
      <c r="I106" s="11"/>
    </row>
    <row r="107" spans="1:9">
      <c r="A107" s="186" t="s">
        <v>145</v>
      </c>
      <c r="B107" s="186"/>
      <c r="C107" s="186"/>
      <c r="D107" s="186"/>
      <c r="E107" s="11">
        <v>-2211.2739158163263</v>
      </c>
      <c r="F107" s="11">
        <v>-8845.0956632653051</v>
      </c>
      <c r="G107" s="11">
        <v>-8845.0956632653051</v>
      </c>
      <c r="H107" s="11">
        <v>-8845.0956632653051</v>
      </c>
      <c r="I107" s="11">
        <v>-8845.0956632653051</v>
      </c>
    </row>
    <row r="108" spans="1:9">
      <c r="A108" s="186" t="s">
        <v>133</v>
      </c>
      <c r="B108" s="186"/>
      <c r="C108" s="186"/>
      <c r="D108" s="186"/>
      <c r="E108" s="11">
        <v>-2774.9319727891152</v>
      </c>
      <c r="F108" s="11">
        <v>-2774.9319727891152</v>
      </c>
      <c r="G108" s="11">
        <v>-2774.9319727891152</v>
      </c>
      <c r="H108" s="11">
        <v>-2774.9319727891152</v>
      </c>
      <c r="I108" s="11">
        <v>-2774.9319727891152</v>
      </c>
    </row>
    <row r="109" spans="1:9">
      <c r="A109" s="187" t="s">
        <v>140</v>
      </c>
      <c r="B109" s="187"/>
      <c r="C109" s="187"/>
      <c r="D109" s="187"/>
      <c r="E109" s="161">
        <f>SUM(E103:E108)</f>
        <v>407537.85873724491</v>
      </c>
      <c r="F109" s="161">
        <f t="shared" ref="F109:I109" si="0">SUM(F103:F108)</f>
        <v>1138379.9723639456</v>
      </c>
      <c r="G109" s="161">
        <f t="shared" si="0"/>
        <v>1138379.9723639456</v>
      </c>
      <c r="H109" s="161">
        <f t="shared" si="0"/>
        <v>1138379.9723639456</v>
      </c>
      <c r="I109" s="161">
        <f t="shared" si="0"/>
        <v>1138379.9723639456</v>
      </c>
    </row>
    <row r="110" spans="1:9">
      <c r="A110" s="187" t="s">
        <v>141</v>
      </c>
      <c r="B110" s="187"/>
      <c r="C110" s="187"/>
      <c r="D110" s="187"/>
      <c r="E110" s="161">
        <f>+E109*35%</f>
        <v>142638.25055803571</v>
      </c>
      <c r="F110" s="161">
        <f t="shared" ref="F110:I110" si="1">+F109*35%</f>
        <v>398432.99032738095</v>
      </c>
      <c r="G110" s="161">
        <f t="shared" si="1"/>
        <v>398432.99032738095</v>
      </c>
      <c r="H110" s="161">
        <f t="shared" si="1"/>
        <v>398432.99032738095</v>
      </c>
      <c r="I110" s="161">
        <f t="shared" si="1"/>
        <v>398432.99032738095</v>
      </c>
    </row>
    <row r="111" spans="1:9">
      <c r="A111" s="113"/>
      <c r="B111" s="113"/>
      <c r="C111" s="113"/>
      <c r="D111" s="113"/>
      <c r="E111" s="42"/>
      <c r="F111" s="42"/>
      <c r="G111" s="42"/>
      <c r="H111" s="42"/>
      <c r="I111" s="42"/>
    </row>
    <row r="112" spans="1:9">
      <c r="A112" s="2" t="s">
        <v>146</v>
      </c>
    </row>
    <row r="114" spans="1:11">
      <c r="A114" s="48" t="s">
        <v>78</v>
      </c>
      <c r="B114" s="49"/>
      <c r="C114" s="49"/>
      <c r="D114" s="49"/>
      <c r="E114" s="50"/>
      <c r="F114" s="50"/>
      <c r="G114" s="50"/>
      <c r="H114" s="50"/>
      <c r="I114" s="50"/>
      <c r="J114" s="50"/>
      <c r="K114" s="51"/>
    </row>
    <row r="116" spans="1:11">
      <c r="A116" s="1" t="s">
        <v>79</v>
      </c>
      <c r="G116" s="183">
        <f>1200000-24000</f>
        <v>1176000</v>
      </c>
      <c r="H116" s="183"/>
    </row>
    <row r="117" spans="1:11">
      <c r="A117" s="6" t="s">
        <v>80</v>
      </c>
      <c r="B117" s="6"/>
      <c r="C117" s="6"/>
      <c r="D117" s="6"/>
      <c r="E117" s="6"/>
      <c r="F117" s="6"/>
      <c r="G117" s="184">
        <f>-E44</f>
        <v>-815830</v>
      </c>
      <c r="H117" s="184"/>
    </row>
    <row r="118" spans="1:11">
      <c r="A118" s="2" t="s">
        <v>148</v>
      </c>
      <c r="B118" s="2"/>
      <c r="C118" s="2"/>
      <c r="D118" s="2"/>
      <c r="E118" s="2"/>
      <c r="G118" s="185">
        <f>SUM(G116:G117)</f>
        <v>360170</v>
      </c>
      <c r="H118" s="185"/>
    </row>
    <row r="120" spans="1:11">
      <c r="A120" s="48" t="s">
        <v>452</v>
      </c>
      <c r="B120" s="49"/>
      <c r="C120" s="49"/>
      <c r="D120" s="49"/>
      <c r="E120" s="50"/>
      <c r="F120" s="50"/>
      <c r="G120" s="50"/>
      <c r="H120" s="50"/>
      <c r="I120" s="50"/>
      <c r="J120" s="50"/>
      <c r="K120" s="51"/>
    </row>
    <row r="121" spans="1:11">
      <c r="A121" s="156" t="s">
        <v>453</v>
      </c>
      <c r="B121" s="156"/>
      <c r="C121" s="156"/>
      <c r="D121" s="156"/>
      <c r="E121" s="157"/>
      <c r="F121" s="157"/>
      <c r="G121" s="157"/>
      <c r="H121" s="157"/>
      <c r="I121" s="157"/>
      <c r="J121" s="157"/>
      <c r="K121" s="157"/>
    </row>
    <row r="123" spans="1:11">
      <c r="A123" s="21" t="s">
        <v>447</v>
      </c>
      <c r="B123" s="21"/>
      <c r="C123" s="178" t="s">
        <v>149</v>
      </c>
      <c r="D123" s="178"/>
      <c r="E123" s="178"/>
      <c r="F123" s="178"/>
      <c r="G123" s="176" t="s">
        <v>138</v>
      </c>
      <c r="H123" s="176"/>
      <c r="I123" s="52">
        <f>+(850000*67%*2)/200</f>
        <v>5695</v>
      </c>
    </row>
    <row r="124" spans="1:11">
      <c r="A124" s="179" t="s">
        <v>136</v>
      </c>
      <c r="B124" s="179"/>
      <c r="C124" s="179" t="s">
        <v>85</v>
      </c>
      <c r="D124" s="179"/>
      <c r="E124" s="179"/>
      <c r="F124" s="179"/>
      <c r="G124" s="168" t="s">
        <v>85</v>
      </c>
      <c r="H124" s="168"/>
    </row>
    <row r="126" spans="1:11">
      <c r="A126" s="21" t="s">
        <v>447</v>
      </c>
      <c r="B126" s="21"/>
      <c r="C126" s="178" t="s">
        <v>150</v>
      </c>
      <c r="D126" s="178"/>
      <c r="E126" s="178"/>
      <c r="F126" s="178"/>
      <c r="G126" s="176" t="s">
        <v>152</v>
      </c>
      <c r="H126" s="176"/>
      <c r="I126" s="52">
        <f>+(750000*85%*1)/200</f>
        <v>3187.5</v>
      </c>
    </row>
    <row r="127" spans="1:11">
      <c r="A127" s="179" t="s">
        <v>134</v>
      </c>
      <c r="B127" s="179"/>
      <c r="C127" s="179" t="s">
        <v>85</v>
      </c>
      <c r="D127" s="179"/>
      <c r="E127" s="179"/>
      <c r="F127" s="179"/>
      <c r="G127" s="168" t="s">
        <v>85</v>
      </c>
      <c r="H127" s="168"/>
    </row>
    <row r="129" spans="1:11" ht="17.25">
      <c r="A129" s="2" t="s">
        <v>448</v>
      </c>
      <c r="B129" s="2"/>
      <c r="C129" s="177" t="s">
        <v>151</v>
      </c>
      <c r="D129" s="177"/>
      <c r="E129" s="177"/>
      <c r="F129" s="56">
        <v>40000</v>
      </c>
      <c r="G129" s="52">
        <f>+F129/F130</f>
        <v>4000</v>
      </c>
    </row>
    <row r="130" spans="1:11">
      <c r="A130" s="180" t="s">
        <v>135</v>
      </c>
      <c r="B130" s="180"/>
      <c r="C130" s="180" t="s">
        <v>127</v>
      </c>
      <c r="D130" s="180"/>
      <c r="E130" s="180"/>
      <c r="F130" s="16">
        <v>10</v>
      </c>
    </row>
    <row r="131" spans="1:11">
      <c r="A131" s="155" t="s">
        <v>450</v>
      </c>
    </row>
    <row r="133" spans="1:11">
      <c r="A133" s="21" t="s">
        <v>447</v>
      </c>
      <c r="B133" s="21"/>
      <c r="C133" s="178" t="s">
        <v>153</v>
      </c>
      <c r="D133" s="178"/>
      <c r="E133" s="178"/>
      <c r="F133" s="178"/>
      <c r="G133" s="176" t="s">
        <v>154</v>
      </c>
      <c r="H133" s="176"/>
      <c r="I133" s="52">
        <f>+(750000*85%*4)/200</f>
        <v>12750</v>
      </c>
    </row>
    <row r="134" spans="1:11">
      <c r="A134" s="179" t="s">
        <v>134</v>
      </c>
      <c r="B134" s="179"/>
      <c r="C134" s="179" t="s">
        <v>85</v>
      </c>
      <c r="D134" s="179"/>
      <c r="E134" s="179"/>
      <c r="F134" s="179"/>
      <c r="G134" s="168" t="s">
        <v>85</v>
      </c>
      <c r="H134" s="168"/>
    </row>
    <row r="135" spans="1:11">
      <c r="A135" s="57"/>
      <c r="B135" s="57"/>
      <c r="C135" s="57"/>
      <c r="D135" s="57"/>
      <c r="E135" s="57"/>
      <c r="F135" s="57"/>
      <c r="G135" s="15"/>
      <c r="H135" s="15"/>
    </row>
    <row r="136" spans="1:11" ht="17.25">
      <c r="A136" s="2" t="s">
        <v>448</v>
      </c>
      <c r="B136" s="2"/>
      <c r="C136" s="177" t="s">
        <v>151</v>
      </c>
      <c r="D136" s="177"/>
      <c r="E136" s="177"/>
      <c r="F136" s="56">
        <v>40000</v>
      </c>
      <c r="G136" s="52">
        <f>+F136/F137</f>
        <v>4000</v>
      </c>
    </row>
    <row r="137" spans="1:11">
      <c r="A137" s="180" t="s">
        <v>135</v>
      </c>
      <c r="B137" s="180"/>
      <c r="C137" s="180" t="s">
        <v>127</v>
      </c>
      <c r="D137" s="180"/>
      <c r="E137" s="180"/>
      <c r="F137" s="16">
        <v>10</v>
      </c>
    </row>
    <row r="138" spans="1:11" ht="15.75" thickBot="1">
      <c r="A138" s="149"/>
      <c r="B138" s="149"/>
      <c r="C138" s="149"/>
      <c r="D138" s="149"/>
      <c r="E138" s="149"/>
      <c r="F138" s="150"/>
    </row>
    <row r="139" spans="1:11" ht="15.75" thickBot="1">
      <c r="A139" s="188" t="s">
        <v>156</v>
      </c>
      <c r="B139" s="189"/>
      <c r="C139" s="189"/>
      <c r="D139" s="189"/>
      <c r="E139" s="159" t="s">
        <v>28</v>
      </c>
      <c r="F139" s="159" t="s">
        <v>31</v>
      </c>
      <c r="G139" s="159" t="s">
        <v>32</v>
      </c>
      <c r="H139" s="159" t="s">
        <v>142</v>
      </c>
      <c r="I139" s="160" t="s">
        <v>143</v>
      </c>
      <c r="J139" s="34"/>
      <c r="K139" s="34"/>
    </row>
    <row r="140" spans="1:11">
      <c r="A140" s="172" t="s">
        <v>454</v>
      </c>
      <c r="B140" s="173"/>
      <c r="C140" s="173"/>
      <c r="D140" s="174"/>
      <c r="E140" s="10">
        <v>1150000</v>
      </c>
      <c r="F140" s="10">
        <v>1150000</v>
      </c>
      <c r="G140" s="10">
        <v>1150000</v>
      </c>
      <c r="H140" s="10">
        <v>1150000</v>
      </c>
      <c r="I140" s="10">
        <v>1150000</v>
      </c>
      <c r="J140" s="34"/>
      <c r="K140" s="34"/>
    </row>
    <row r="141" spans="1:11">
      <c r="A141" s="58" t="s">
        <v>455</v>
      </c>
      <c r="B141" s="58"/>
      <c r="C141" s="58"/>
      <c r="D141" s="58"/>
      <c r="E141" s="11">
        <v>-850000</v>
      </c>
      <c r="F141" s="11"/>
      <c r="G141" s="11"/>
      <c r="H141" s="11"/>
      <c r="I141" s="11"/>
      <c r="J141" s="34"/>
      <c r="K141" s="34"/>
    </row>
    <row r="142" spans="1:11">
      <c r="A142" s="58" t="s">
        <v>131</v>
      </c>
      <c r="B142" s="58"/>
      <c r="C142" s="58"/>
      <c r="D142" s="58"/>
      <c r="E142" s="11">
        <v>360170</v>
      </c>
      <c r="F142" s="11"/>
      <c r="G142" s="11"/>
      <c r="H142" s="11"/>
      <c r="I142" s="11"/>
      <c r="J142" s="34"/>
      <c r="K142" s="34"/>
    </row>
    <row r="143" spans="1:11">
      <c r="A143" s="58" t="s">
        <v>132</v>
      </c>
      <c r="B143" s="58"/>
      <c r="C143" s="58"/>
      <c r="D143" s="58"/>
      <c r="E143" s="11">
        <v>-5695</v>
      </c>
      <c r="F143" s="11"/>
      <c r="G143" s="11"/>
      <c r="H143" s="11"/>
      <c r="I143" s="11"/>
      <c r="J143" s="34"/>
      <c r="K143" s="34"/>
    </row>
    <row r="144" spans="1:11">
      <c r="A144" s="58" t="s">
        <v>145</v>
      </c>
      <c r="B144" s="58"/>
      <c r="C144" s="58"/>
      <c r="D144" s="58"/>
      <c r="E144" s="11">
        <v>-3187.5</v>
      </c>
      <c r="F144" s="11">
        <v>-12750</v>
      </c>
      <c r="G144" s="11">
        <v>-12750</v>
      </c>
      <c r="H144" s="11">
        <v>-12750</v>
      </c>
      <c r="I144" s="11">
        <v>-12750</v>
      </c>
      <c r="J144" s="34"/>
      <c r="K144" s="34"/>
    </row>
    <row r="145" spans="1:11">
      <c r="A145" s="58" t="s">
        <v>133</v>
      </c>
      <c r="B145" s="58"/>
      <c r="C145" s="58"/>
      <c r="D145" s="58"/>
      <c r="E145" s="11">
        <v>-4000</v>
      </c>
      <c r="F145" s="11">
        <v>-4000</v>
      </c>
      <c r="G145" s="11">
        <v>-4000</v>
      </c>
      <c r="H145" s="11">
        <v>-4000</v>
      </c>
      <c r="I145" s="11">
        <v>-4000</v>
      </c>
      <c r="J145" s="34"/>
      <c r="K145" s="34"/>
    </row>
    <row r="146" spans="1:11">
      <c r="A146" s="169" t="s">
        <v>140</v>
      </c>
      <c r="B146" s="170"/>
      <c r="C146" s="170"/>
      <c r="D146" s="171"/>
      <c r="E146" s="161">
        <f>SUM(E140:E145)</f>
        <v>647287.5</v>
      </c>
      <c r="F146" s="161">
        <f t="shared" ref="F146:I146" si="2">SUM(F140:F145)</f>
        <v>1133250</v>
      </c>
      <c r="G146" s="161">
        <f t="shared" si="2"/>
        <v>1133250</v>
      </c>
      <c r="H146" s="161">
        <f t="shared" si="2"/>
        <v>1133250</v>
      </c>
      <c r="I146" s="161">
        <f t="shared" si="2"/>
        <v>1133250</v>
      </c>
    </row>
    <row r="147" spans="1:11">
      <c r="A147" s="169" t="s">
        <v>141</v>
      </c>
      <c r="B147" s="170"/>
      <c r="C147" s="170"/>
      <c r="D147" s="171"/>
      <c r="E147" s="161">
        <f>+E146*35%</f>
        <v>226550.625</v>
      </c>
      <c r="F147" s="161">
        <f t="shared" ref="F147:I147" si="3">+F146*35%</f>
        <v>396637.5</v>
      </c>
      <c r="G147" s="161">
        <f t="shared" si="3"/>
        <v>396637.5</v>
      </c>
      <c r="H147" s="161">
        <f t="shared" si="3"/>
        <v>396637.5</v>
      </c>
      <c r="I147" s="161">
        <f t="shared" si="3"/>
        <v>396637.5</v>
      </c>
    </row>
    <row r="148" spans="1:11" ht="15.75" thickBot="1"/>
    <row r="149" spans="1:11" ht="15.75" thickBot="1">
      <c r="A149" s="65" t="s">
        <v>157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7"/>
    </row>
    <row r="150" spans="1:11">
      <c r="A150" s="61" t="s">
        <v>158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62"/>
    </row>
    <row r="151" spans="1:11">
      <c r="A151" s="61" t="s">
        <v>159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62"/>
    </row>
    <row r="152" spans="1:11">
      <c r="A152" s="61" t="s">
        <v>160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62"/>
    </row>
    <row r="153" spans="1:11" ht="15.75" thickBot="1">
      <c r="A153" s="158" t="s">
        <v>161</v>
      </c>
      <c r="B153" s="64"/>
      <c r="C153" s="64"/>
      <c r="D153" s="64"/>
      <c r="E153" s="64"/>
      <c r="F153" s="64"/>
      <c r="G153" s="64"/>
      <c r="H153" s="64"/>
      <c r="I153" s="64"/>
      <c r="J153" s="64"/>
      <c r="K153" s="63"/>
    </row>
    <row r="156" spans="1:11">
      <c r="A156" s="1" t="s">
        <v>457</v>
      </c>
    </row>
    <row r="157" spans="1:11">
      <c r="A157" s="1" t="s">
        <v>7</v>
      </c>
    </row>
    <row r="158" spans="1:11">
      <c r="A158" s="1" t="s">
        <v>6</v>
      </c>
    </row>
  </sheetData>
  <mergeCells count="69">
    <mergeCell ref="A139:D139"/>
    <mergeCell ref="A102:D102"/>
    <mergeCell ref="A103:D103"/>
    <mergeCell ref="A105:D105"/>
    <mergeCell ref="A106:D106"/>
    <mergeCell ref="C136:E136"/>
    <mergeCell ref="A137:B137"/>
    <mergeCell ref="C137:E137"/>
    <mergeCell ref="C133:F133"/>
    <mergeCell ref="C126:F126"/>
    <mergeCell ref="A104:D104"/>
    <mergeCell ref="G133:H133"/>
    <mergeCell ref="A134:B134"/>
    <mergeCell ref="C134:F134"/>
    <mergeCell ref="G134:H134"/>
    <mergeCell ref="C129:E129"/>
    <mergeCell ref="A130:B130"/>
    <mergeCell ref="C130:E130"/>
    <mergeCell ref="G126:H126"/>
    <mergeCell ref="A127:B127"/>
    <mergeCell ref="C127:F127"/>
    <mergeCell ref="G127:H127"/>
    <mergeCell ref="C123:F123"/>
    <mergeCell ref="G123:H123"/>
    <mergeCell ref="A124:B124"/>
    <mergeCell ref="C124:F124"/>
    <mergeCell ref="G124:H124"/>
    <mergeCell ref="C100:E100"/>
    <mergeCell ref="C97:F97"/>
    <mergeCell ref="G116:H116"/>
    <mergeCell ref="G117:H117"/>
    <mergeCell ref="G118:H118"/>
    <mergeCell ref="A107:D107"/>
    <mergeCell ref="A108:D108"/>
    <mergeCell ref="A109:D109"/>
    <mergeCell ref="A110:D110"/>
    <mergeCell ref="C83:F83"/>
    <mergeCell ref="G83:H83"/>
    <mergeCell ref="C96:F96"/>
    <mergeCell ref="G96:H96"/>
    <mergeCell ref="A92:B92"/>
    <mergeCell ref="A86:B86"/>
    <mergeCell ref="A83:B83"/>
    <mergeCell ref="C37:E37"/>
    <mergeCell ref="A3:K4"/>
    <mergeCell ref="A11:B11"/>
    <mergeCell ref="D11:E11"/>
    <mergeCell ref="G11:H11"/>
    <mergeCell ref="J11:K11"/>
    <mergeCell ref="A8:B8"/>
    <mergeCell ref="D8:E8"/>
    <mergeCell ref="G8:H8"/>
    <mergeCell ref="J8:K8"/>
    <mergeCell ref="A146:D146"/>
    <mergeCell ref="A147:D147"/>
    <mergeCell ref="A140:D140"/>
    <mergeCell ref="C42:D42"/>
    <mergeCell ref="E56:G56"/>
    <mergeCell ref="E53:G53"/>
    <mergeCell ref="G97:H97"/>
    <mergeCell ref="C99:E99"/>
    <mergeCell ref="G85:H85"/>
    <mergeCell ref="G86:H86"/>
    <mergeCell ref="C85:F85"/>
    <mergeCell ref="C86:F86"/>
    <mergeCell ref="C91:E91"/>
    <mergeCell ref="C92:E92"/>
    <mergeCell ref="C82:F82"/>
    <mergeCell ref="G82:H82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
UNIDAD VI&amp;R&amp;"-,Negrita"&amp;K00-045Florencia I. Taier</oddHeader>
    <oddFooter>&amp;L&amp;G &amp;C&amp;"-,Negrita"&amp;K00-046UCC. FACEA. 
IMPUESTOS I. Cát. "B"&amp;R&amp;"-,Negrita"&amp;K00-046Página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0"/>
  <sheetViews>
    <sheetView view="pageLayout" topLeftCell="A237" workbookViewId="0">
      <selection activeCell="B252" sqref="B252"/>
    </sheetView>
  </sheetViews>
  <sheetFormatPr baseColWidth="10" defaultColWidth="11.5703125" defaultRowHeight="15"/>
  <cols>
    <col min="1" max="1" width="11.5703125" style="1"/>
    <col min="2" max="2" width="11.5703125" style="1" customWidth="1"/>
    <col min="3" max="3" width="12.5703125" style="1" customWidth="1"/>
    <col min="4" max="4" width="12.140625" style="1" customWidth="1"/>
    <col min="5" max="6" width="12.28515625" style="1" customWidth="1"/>
    <col min="7" max="9" width="12.42578125" style="1" bestFit="1" customWidth="1"/>
    <col min="10" max="10" width="10.28515625" style="1" customWidth="1"/>
    <col min="11" max="11" width="11.5703125" style="1" customWidth="1"/>
    <col min="12" max="16384" width="11.5703125" style="1"/>
  </cols>
  <sheetData>
    <row r="1" spans="1:11" ht="15.75">
      <c r="A1" s="3" t="s">
        <v>162</v>
      </c>
    </row>
    <row r="2" spans="1:11" ht="15.75" thickBot="1"/>
    <row r="3" spans="1:11">
      <c r="A3" s="162" t="s">
        <v>444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</row>
    <row r="4" spans="1:11" ht="15.75" thickBot="1">
      <c r="A4" s="165"/>
      <c r="B4" s="166"/>
      <c r="C4" s="166"/>
      <c r="D4" s="166"/>
      <c r="E4" s="166"/>
      <c r="F4" s="166"/>
      <c r="G4" s="166"/>
      <c r="H4" s="166"/>
      <c r="I4" s="166"/>
      <c r="J4" s="166"/>
      <c r="K4" s="167"/>
    </row>
    <row r="6" spans="1:11" ht="15.75" thickBot="1"/>
    <row r="7" spans="1:11">
      <c r="A7" s="199" t="s">
        <v>163</v>
      </c>
      <c r="B7" s="200"/>
      <c r="C7" s="200"/>
      <c r="D7" s="200"/>
      <c r="E7" s="198" t="s">
        <v>164</v>
      </c>
      <c r="F7" s="198"/>
      <c r="G7" s="200" t="s">
        <v>178</v>
      </c>
      <c r="H7" s="200"/>
      <c r="I7" s="200" t="s">
        <v>179</v>
      </c>
      <c r="J7" s="204" t="s">
        <v>182</v>
      </c>
    </row>
    <row r="8" spans="1:11" ht="15.75" thickBot="1">
      <c r="A8" s="201"/>
      <c r="B8" s="202"/>
      <c r="C8" s="202"/>
      <c r="D8" s="202"/>
      <c r="E8" s="128" t="s">
        <v>165</v>
      </c>
      <c r="F8" s="128" t="s">
        <v>166</v>
      </c>
      <c r="G8" s="202"/>
      <c r="H8" s="202"/>
      <c r="I8" s="202"/>
      <c r="J8" s="205"/>
    </row>
    <row r="9" spans="1:11">
      <c r="A9" s="31" t="s">
        <v>167</v>
      </c>
      <c r="B9" s="34"/>
      <c r="C9" s="34"/>
      <c r="D9" s="33"/>
      <c r="E9" s="10"/>
      <c r="F9" s="99">
        <f>+C62</f>
        <v>419900</v>
      </c>
      <c r="G9" s="206"/>
      <c r="H9" s="206"/>
      <c r="I9" s="96"/>
      <c r="J9" s="97"/>
    </row>
    <row r="10" spans="1:11">
      <c r="A10" s="70" t="s">
        <v>176</v>
      </c>
      <c r="B10" s="7"/>
      <c r="C10" s="7"/>
      <c r="D10" s="71"/>
      <c r="E10" s="11"/>
      <c r="F10" s="100">
        <f>-C61</f>
        <v>226100</v>
      </c>
      <c r="G10" s="193" t="s">
        <v>202</v>
      </c>
      <c r="H10" s="193"/>
      <c r="I10" s="72"/>
      <c r="J10" s="76"/>
    </row>
    <row r="11" spans="1:11">
      <c r="A11" s="70" t="s">
        <v>170</v>
      </c>
      <c r="B11" s="7"/>
      <c r="C11" s="7"/>
      <c r="D11" s="71"/>
      <c r="E11" s="11">
        <f>+G84</f>
        <v>-31600</v>
      </c>
      <c r="F11" s="100"/>
      <c r="G11" s="193" t="s">
        <v>201</v>
      </c>
      <c r="H11" s="193"/>
      <c r="I11" s="72" t="s">
        <v>181</v>
      </c>
      <c r="J11" s="76">
        <v>1</v>
      </c>
    </row>
    <row r="12" spans="1:11">
      <c r="A12" s="70" t="s">
        <v>314</v>
      </c>
      <c r="B12" s="7"/>
      <c r="C12" s="7"/>
      <c r="D12" s="71"/>
      <c r="E12" s="11"/>
      <c r="F12" s="100">
        <f>+H94</f>
        <v>20946.996336996333</v>
      </c>
      <c r="G12" s="193" t="s">
        <v>224</v>
      </c>
      <c r="H12" s="193"/>
      <c r="I12" s="72" t="s">
        <v>324</v>
      </c>
      <c r="J12" s="76">
        <v>2</v>
      </c>
    </row>
    <row r="13" spans="1:11">
      <c r="A13" s="70" t="s">
        <v>315</v>
      </c>
      <c r="B13" s="7"/>
      <c r="C13" s="7"/>
      <c r="D13" s="71"/>
      <c r="E13" s="11"/>
      <c r="F13" s="100">
        <f>+D138</f>
        <v>26000</v>
      </c>
      <c r="G13" s="193" t="s">
        <v>239</v>
      </c>
      <c r="H13" s="193"/>
      <c r="I13" s="72" t="s">
        <v>240</v>
      </c>
      <c r="J13" s="76">
        <v>3</v>
      </c>
    </row>
    <row r="14" spans="1:11">
      <c r="A14" s="70" t="s">
        <v>313</v>
      </c>
      <c r="B14" s="7"/>
      <c r="C14" s="7"/>
      <c r="D14" s="71"/>
      <c r="E14" s="70"/>
      <c r="F14" s="58">
        <f>+D144</f>
        <v>13500</v>
      </c>
      <c r="G14" s="196" t="s">
        <v>264</v>
      </c>
      <c r="H14" s="203"/>
      <c r="I14" s="72" t="s">
        <v>256</v>
      </c>
      <c r="J14" s="108">
        <v>4</v>
      </c>
    </row>
    <row r="15" spans="1:11">
      <c r="A15" s="39" t="s">
        <v>312</v>
      </c>
      <c r="B15" s="6"/>
      <c r="C15" s="6"/>
      <c r="D15" s="40"/>
      <c r="E15" s="11"/>
      <c r="F15" s="100">
        <f>+C157</f>
        <v>10000</v>
      </c>
      <c r="G15" s="193" t="s">
        <v>258</v>
      </c>
      <c r="H15" s="193"/>
      <c r="I15" s="72" t="s">
        <v>257</v>
      </c>
      <c r="J15" s="76">
        <v>5</v>
      </c>
    </row>
    <row r="16" spans="1:11">
      <c r="A16" s="70" t="s">
        <v>311</v>
      </c>
      <c r="B16" s="7"/>
      <c r="C16" s="7"/>
      <c r="D16" s="71"/>
      <c r="E16" s="11"/>
      <c r="F16" s="100">
        <f>+I176</f>
        <v>2799.9999999999986</v>
      </c>
      <c r="G16" s="193" t="s">
        <v>279</v>
      </c>
      <c r="H16" s="193"/>
      <c r="I16" s="72" t="s">
        <v>255</v>
      </c>
      <c r="J16" s="76">
        <v>6</v>
      </c>
    </row>
    <row r="17" spans="1:10">
      <c r="A17" s="70" t="s">
        <v>306</v>
      </c>
      <c r="B17" s="7"/>
      <c r="C17" s="7"/>
      <c r="D17" s="71"/>
      <c r="E17" s="11">
        <f>+C184</f>
        <v>-7000</v>
      </c>
      <c r="F17" s="100"/>
      <c r="G17" s="193" t="s">
        <v>328</v>
      </c>
      <c r="H17" s="193"/>
      <c r="I17" s="72" t="s">
        <v>307</v>
      </c>
      <c r="J17" s="76">
        <v>7</v>
      </c>
    </row>
    <row r="18" spans="1:10">
      <c r="A18" s="39" t="s">
        <v>310</v>
      </c>
      <c r="B18" s="6"/>
      <c r="C18" s="6"/>
      <c r="D18" s="40"/>
      <c r="E18" s="11">
        <f>+D203</f>
        <v>-5000</v>
      </c>
      <c r="F18" s="100"/>
      <c r="G18" s="193" t="s">
        <v>326</v>
      </c>
      <c r="H18" s="193"/>
      <c r="I18" s="72" t="s">
        <v>308</v>
      </c>
      <c r="J18" s="76">
        <v>8</v>
      </c>
    </row>
    <row r="19" spans="1:10">
      <c r="A19" s="70" t="s">
        <v>331</v>
      </c>
      <c r="B19" s="7"/>
      <c r="C19" s="7"/>
      <c r="D19" s="7"/>
      <c r="E19" s="58">
        <f>+F215</f>
        <v>-10000</v>
      </c>
      <c r="F19" s="58"/>
      <c r="G19" s="193" t="s">
        <v>330</v>
      </c>
      <c r="H19" s="193"/>
      <c r="I19" s="76" t="s">
        <v>316</v>
      </c>
      <c r="J19" s="112">
        <v>9</v>
      </c>
    </row>
    <row r="20" spans="1:10">
      <c r="A20" s="70" t="s">
        <v>317</v>
      </c>
      <c r="B20" s="7"/>
      <c r="C20" s="7"/>
      <c r="D20" s="71"/>
      <c r="E20" s="11">
        <f>+F223</f>
        <v>-10000</v>
      </c>
      <c r="F20" s="100"/>
      <c r="G20" s="194" t="s">
        <v>327</v>
      </c>
      <c r="H20" s="195"/>
      <c r="I20" s="72" t="s">
        <v>318</v>
      </c>
      <c r="J20" s="76">
        <v>10</v>
      </c>
    </row>
    <row r="21" spans="1:10">
      <c r="A21" s="70" t="s">
        <v>377</v>
      </c>
      <c r="B21" s="7"/>
      <c r="C21" s="7"/>
      <c r="D21" s="71"/>
      <c r="E21" s="100">
        <v>-5000</v>
      </c>
      <c r="F21" s="118"/>
      <c r="G21" s="194" t="s">
        <v>329</v>
      </c>
      <c r="H21" s="195"/>
      <c r="I21" s="72" t="s">
        <v>309</v>
      </c>
      <c r="J21" s="76">
        <v>11</v>
      </c>
    </row>
    <row r="22" spans="1:10">
      <c r="A22" s="85" t="s">
        <v>375</v>
      </c>
      <c r="B22" s="86"/>
      <c r="C22" s="86"/>
      <c r="D22" s="87"/>
      <c r="E22" s="211">
        <f>SUM(E9:F20)</f>
        <v>655646.99633699632</v>
      </c>
      <c r="F22" s="212"/>
      <c r="G22" s="124"/>
      <c r="H22" s="125"/>
      <c r="I22" s="126"/>
      <c r="J22" s="127"/>
    </row>
    <row r="23" spans="1:10" ht="15.75" thickBot="1">
      <c r="A23" s="70" t="s">
        <v>376</v>
      </c>
      <c r="B23" s="7"/>
      <c r="C23" s="7"/>
      <c r="D23" s="71"/>
      <c r="E23" s="11">
        <f>+E246</f>
        <v>-95000</v>
      </c>
      <c r="F23" s="100"/>
      <c r="G23" s="194" t="s">
        <v>329</v>
      </c>
      <c r="H23" s="195"/>
      <c r="I23" s="72" t="s">
        <v>309</v>
      </c>
      <c r="J23" s="76">
        <v>11</v>
      </c>
    </row>
    <row r="24" spans="1:10">
      <c r="A24" s="129" t="s">
        <v>319</v>
      </c>
      <c r="B24" s="130"/>
      <c r="C24" s="130"/>
      <c r="D24" s="131"/>
      <c r="E24" s="219">
        <f>SUM(E22:F23)</f>
        <v>560646.99633699632</v>
      </c>
      <c r="F24" s="220"/>
      <c r="G24" s="224"/>
      <c r="H24" s="225"/>
      <c r="I24" s="132"/>
      <c r="J24" s="133"/>
    </row>
    <row r="25" spans="1:10">
      <c r="A25" s="139" t="s">
        <v>141</v>
      </c>
      <c r="B25" s="86"/>
      <c r="C25" s="86"/>
      <c r="D25" s="87"/>
      <c r="E25" s="211">
        <f>+E24*35%</f>
        <v>196226.44871794869</v>
      </c>
      <c r="F25" s="212"/>
      <c r="G25" s="226" t="s">
        <v>325</v>
      </c>
      <c r="H25" s="227"/>
      <c r="I25" s="126"/>
      <c r="J25" s="140"/>
    </row>
    <row r="26" spans="1:10">
      <c r="A26" s="120" t="s">
        <v>320</v>
      </c>
      <c r="B26" s="7"/>
      <c r="C26" s="7"/>
      <c r="D26" s="71"/>
      <c r="E26" s="221">
        <v>-60000</v>
      </c>
      <c r="F26" s="216"/>
      <c r="G26" s="194"/>
      <c r="H26" s="195"/>
      <c r="I26" s="72" t="s">
        <v>323</v>
      </c>
      <c r="J26" s="121"/>
    </row>
    <row r="27" spans="1:10">
      <c r="A27" s="120" t="s">
        <v>321</v>
      </c>
      <c r="B27" s="7"/>
      <c r="C27" s="7"/>
      <c r="D27" s="71"/>
      <c r="E27" s="221">
        <v>-30000</v>
      </c>
      <c r="F27" s="216"/>
      <c r="G27" s="194"/>
      <c r="H27" s="195"/>
      <c r="I27" s="72" t="s">
        <v>323</v>
      </c>
      <c r="J27" s="121"/>
    </row>
    <row r="28" spans="1:10" ht="15.75" thickBot="1">
      <c r="A28" s="134" t="s">
        <v>322</v>
      </c>
      <c r="B28" s="135"/>
      <c r="C28" s="135"/>
      <c r="D28" s="136"/>
      <c r="E28" s="222">
        <f>+E25+E26+E27</f>
        <v>106226.44871794869</v>
      </c>
      <c r="F28" s="223"/>
      <c r="G28" s="217"/>
      <c r="H28" s="218"/>
      <c r="I28" s="137"/>
      <c r="J28" s="138"/>
    </row>
    <row r="29" spans="1:10">
      <c r="A29" s="34"/>
      <c r="B29" s="34"/>
      <c r="C29" s="34"/>
      <c r="D29" s="34"/>
      <c r="E29" s="34"/>
      <c r="F29" s="34"/>
      <c r="G29" s="98"/>
      <c r="H29" s="98"/>
      <c r="I29" s="32"/>
      <c r="J29" s="111"/>
    </row>
    <row r="30" spans="1:10">
      <c r="A30" s="34"/>
      <c r="B30" s="34"/>
      <c r="C30" s="34"/>
      <c r="D30" s="34"/>
      <c r="E30" s="34"/>
      <c r="F30" s="34"/>
      <c r="G30" s="98"/>
      <c r="H30" s="98"/>
      <c r="I30" s="32"/>
      <c r="J30" s="111"/>
    </row>
    <row r="31" spans="1:10">
      <c r="A31" s="34"/>
      <c r="B31" s="34"/>
      <c r="C31" s="34"/>
      <c r="D31" s="34"/>
      <c r="E31" s="34"/>
      <c r="F31" s="34"/>
      <c r="G31" s="98"/>
      <c r="H31" s="98"/>
      <c r="I31" s="32"/>
      <c r="J31" s="111"/>
    </row>
    <row r="32" spans="1:10">
      <c r="A32" s="34"/>
      <c r="B32" s="34"/>
      <c r="C32" s="34"/>
      <c r="D32" s="34"/>
      <c r="E32" s="34"/>
      <c r="F32" s="34"/>
      <c r="G32" s="98"/>
      <c r="H32" s="98"/>
      <c r="I32" s="32"/>
      <c r="J32" s="111"/>
    </row>
    <row r="33" spans="1:10">
      <c r="A33" s="47" t="s">
        <v>443</v>
      </c>
      <c r="B33" s="47"/>
      <c r="C33" s="47"/>
      <c r="D33" s="34"/>
      <c r="E33" s="34"/>
      <c r="F33" s="34"/>
      <c r="G33" s="98"/>
      <c r="H33" s="98"/>
      <c r="I33" s="32"/>
      <c r="J33" s="111"/>
    </row>
    <row r="34" spans="1:10">
      <c r="A34" s="34" t="s">
        <v>431</v>
      </c>
      <c r="B34" s="34"/>
      <c r="C34" s="34"/>
      <c r="D34" s="34"/>
      <c r="E34" s="34"/>
      <c r="F34" s="34"/>
      <c r="G34" s="98"/>
      <c r="H34" s="98"/>
      <c r="I34" s="32"/>
      <c r="J34" s="111"/>
    </row>
    <row r="35" spans="1:10">
      <c r="A35" s="34" t="s">
        <v>432</v>
      </c>
      <c r="B35" s="34"/>
      <c r="C35" s="34"/>
      <c r="D35" s="34"/>
      <c r="E35" s="34"/>
      <c r="F35" s="34"/>
      <c r="G35" s="98"/>
      <c r="H35" s="98"/>
      <c r="I35" s="32"/>
      <c r="J35" s="111"/>
    </row>
    <row r="36" spans="1:10">
      <c r="A36" s="154" t="s">
        <v>433</v>
      </c>
      <c r="B36" s="34"/>
      <c r="C36" s="34"/>
      <c r="D36" s="34"/>
      <c r="E36" s="34"/>
      <c r="F36" s="34"/>
      <c r="G36" s="98"/>
      <c r="H36" s="98"/>
      <c r="I36" s="32"/>
      <c r="J36" s="111"/>
    </row>
    <row r="37" spans="1:10">
      <c r="A37" s="34"/>
      <c r="B37" s="34"/>
      <c r="C37" s="34"/>
      <c r="D37" s="34"/>
      <c r="E37" s="34"/>
      <c r="F37" s="34"/>
      <c r="G37" s="98"/>
      <c r="H37" s="98"/>
      <c r="I37" s="32"/>
      <c r="J37" s="111"/>
    </row>
    <row r="38" spans="1:10">
      <c r="A38" s="34" t="s">
        <v>434</v>
      </c>
      <c r="B38" s="34"/>
      <c r="C38" s="34"/>
      <c r="D38" s="34"/>
      <c r="E38" s="34">
        <f>+C60</f>
        <v>646000</v>
      </c>
      <c r="F38" s="34"/>
      <c r="G38" s="98"/>
      <c r="H38" s="98"/>
      <c r="I38" s="32"/>
      <c r="J38" s="111"/>
    </row>
    <row r="39" spans="1:10">
      <c r="A39" s="34" t="s">
        <v>435</v>
      </c>
      <c r="B39" s="34"/>
      <c r="C39" s="34"/>
      <c r="D39" s="34"/>
      <c r="E39" s="34">
        <f>+E24</f>
        <v>560646.99633699632</v>
      </c>
      <c r="F39" s="34"/>
      <c r="G39" s="98"/>
      <c r="H39" s="98"/>
      <c r="I39" s="32"/>
      <c r="J39" s="111"/>
    </row>
    <row r="40" spans="1:10">
      <c r="A40" s="34" t="s">
        <v>436</v>
      </c>
      <c r="B40" s="34"/>
      <c r="C40" s="34"/>
      <c r="D40" s="34"/>
      <c r="E40" s="34">
        <f>+E39*35%</f>
        <v>196226.44871794869</v>
      </c>
      <c r="F40" s="34"/>
      <c r="G40" s="98"/>
      <c r="H40" s="98"/>
      <c r="I40" s="32"/>
      <c r="J40" s="111"/>
    </row>
    <row r="41" spans="1:10">
      <c r="A41" s="34" t="s">
        <v>437</v>
      </c>
      <c r="B41" s="34"/>
      <c r="C41" s="34"/>
      <c r="D41" s="34"/>
      <c r="E41" s="34">
        <f>+E38-E40</f>
        <v>449773.55128205131</v>
      </c>
      <c r="F41" s="34"/>
      <c r="G41" s="98"/>
      <c r="H41" s="98"/>
      <c r="I41" s="32"/>
      <c r="J41" s="111"/>
    </row>
    <row r="42" spans="1:10">
      <c r="A42" s="34" t="s">
        <v>439</v>
      </c>
      <c r="B42" s="34"/>
      <c r="C42" s="34"/>
      <c r="D42" s="34"/>
      <c r="E42" s="34">
        <f>+E39-E40</f>
        <v>364420.54761904763</v>
      </c>
      <c r="F42" s="34"/>
      <c r="G42" s="98"/>
      <c r="H42" s="98"/>
      <c r="I42" s="32"/>
      <c r="J42" s="111"/>
    </row>
    <row r="43" spans="1:10">
      <c r="A43" s="34" t="s">
        <v>438</v>
      </c>
      <c r="B43" s="34"/>
      <c r="C43" s="34"/>
      <c r="D43" s="34"/>
      <c r="E43" s="34">
        <f>+E41-E42</f>
        <v>85353.003663003678</v>
      </c>
      <c r="F43" s="34"/>
      <c r="G43" s="98"/>
      <c r="H43" s="98"/>
      <c r="I43" s="32"/>
      <c r="J43" s="111"/>
    </row>
    <row r="44" spans="1:10">
      <c r="A44" s="21" t="s">
        <v>440</v>
      </c>
      <c r="B44" s="21"/>
      <c r="C44" s="21"/>
      <c r="D44" s="21"/>
      <c r="E44" s="21">
        <f>+E43*35%</f>
        <v>29873.551282051285</v>
      </c>
      <c r="F44" s="34"/>
      <c r="G44" s="98"/>
      <c r="H44" s="98"/>
      <c r="I44" s="32"/>
      <c r="J44" s="111"/>
    </row>
    <row r="45" spans="1:10">
      <c r="A45" s="34"/>
      <c r="B45" s="34"/>
      <c r="C45" s="34"/>
      <c r="D45" s="34"/>
      <c r="E45" s="34"/>
      <c r="F45" s="34"/>
      <c r="G45" s="98"/>
      <c r="H45" s="98"/>
      <c r="I45" s="32"/>
      <c r="J45" s="111"/>
    </row>
    <row r="46" spans="1:10">
      <c r="A46" s="34" t="s">
        <v>441</v>
      </c>
      <c r="B46" s="34"/>
      <c r="C46" s="34"/>
      <c r="D46" s="34"/>
      <c r="E46" s="34"/>
      <c r="F46" s="34"/>
      <c r="G46" s="98"/>
      <c r="H46" s="98"/>
      <c r="I46" s="32"/>
      <c r="J46" s="111"/>
    </row>
    <row r="47" spans="1:10">
      <c r="A47" s="34" t="s">
        <v>442</v>
      </c>
      <c r="B47" s="34"/>
      <c r="C47" s="34"/>
      <c r="D47" s="34"/>
      <c r="E47" s="34"/>
      <c r="F47" s="34"/>
      <c r="G47" s="98"/>
      <c r="H47" s="98"/>
      <c r="I47" s="32"/>
      <c r="J47" s="111"/>
    </row>
    <row r="48" spans="1:10">
      <c r="A48" s="34"/>
      <c r="B48" s="34"/>
      <c r="C48" s="34"/>
      <c r="D48" s="34"/>
      <c r="E48" s="34"/>
      <c r="F48" s="34"/>
      <c r="G48" s="98"/>
      <c r="H48" s="98"/>
      <c r="I48" s="32"/>
      <c r="J48" s="111"/>
    </row>
    <row r="49" spans="1:10">
      <c r="A49" s="34"/>
      <c r="B49" s="34"/>
      <c r="C49" s="34"/>
      <c r="D49" s="34"/>
      <c r="E49" s="34"/>
      <c r="F49" s="34"/>
      <c r="G49" s="98"/>
      <c r="H49" s="98"/>
      <c r="I49" s="32"/>
      <c r="J49" s="111"/>
    </row>
    <row r="50" spans="1:10">
      <c r="A50" s="34"/>
      <c r="B50" s="34"/>
      <c r="C50" s="34"/>
      <c r="D50" s="34"/>
      <c r="E50" s="34"/>
      <c r="F50" s="34"/>
      <c r="G50" s="98"/>
      <c r="H50" s="98"/>
      <c r="I50" s="32"/>
      <c r="J50" s="111"/>
    </row>
    <row r="51" spans="1:10">
      <c r="A51" s="2" t="s">
        <v>168</v>
      </c>
      <c r="B51" s="34"/>
      <c r="C51" s="34"/>
      <c r="D51" s="34"/>
      <c r="E51" s="34"/>
      <c r="F51" s="34"/>
      <c r="G51" s="98"/>
      <c r="H51" s="98"/>
      <c r="I51" s="32"/>
      <c r="J51" s="111"/>
    </row>
    <row r="53" spans="1:10">
      <c r="A53" s="196" t="s">
        <v>177</v>
      </c>
      <c r="B53" s="197"/>
      <c r="C53" s="203"/>
    </row>
    <row r="54" spans="1:10" ht="15.75" customHeight="1">
      <c r="A54" s="190" t="s">
        <v>169</v>
      </c>
      <c r="B54" s="192"/>
      <c r="C54" s="58">
        <f>-C55*1.6</f>
        <v>2216000</v>
      </c>
    </row>
    <row r="55" spans="1:10">
      <c r="A55" s="148" t="s">
        <v>170</v>
      </c>
      <c r="B55" s="148"/>
      <c r="C55" s="58">
        <f>-600000-85000-700000</f>
        <v>-1385000</v>
      </c>
    </row>
    <row r="56" spans="1:10">
      <c r="A56" s="147" t="s">
        <v>171</v>
      </c>
      <c r="B56" s="147"/>
      <c r="C56" s="12">
        <f>+C54+C55</f>
        <v>831000</v>
      </c>
    </row>
    <row r="57" spans="1:10">
      <c r="A57" s="148" t="s">
        <v>172</v>
      </c>
      <c r="B57" s="148"/>
      <c r="C57" s="58">
        <f>-45000-80000</f>
        <v>-125000</v>
      </c>
    </row>
    <row r="58" spans="1:10">
      <c r="A58" s="59" t="s">
        <v>173</v>
      </c>
      <c r="B58" s="59"/>
      <c r="C58" s="58">
        <f>-15000-5000-20000</f>
        <v>-40000</v>
      </c>
    </row>
    <row r="59" spans="1:10">
      <c r="A59" s="59" t="s">
        <v>174</v>
      </c>
      <c r="B59" s="59"/>
      <c r="C59" s="58">
        <v>-20000</v>
      </c>
    </row>
    <row r="60" spans="1:10">
      <c r="A60" s="60" t="s">
        <v>175</v>
      </c>
      <c r="B60" s="60"/>
      <c r="C60" s="12">
        <f>SUM(C56:C59)</f>
        <v>646000</v>
      </c>
    </row>
    <row r="61" spans="1:10">
      <c r="A61" s="59" t="s">
        <v>176</v>
      </c>
      <c r="B61" s="59"/>
      <c r="C61" s="58">
        <f>+C60*-0.35</f>
        <v>-226100</v>
      </c>
    </row>
    <row r="62" spans="1:10">
      <c r="A62" s="68" t="s">
        <v>140</v>
      </c>
      <c r="B62" s="68"/>
      <c r="C62" s="12">
        <f>+C60+C61</f>
        <v>419900</v>
      </c>
    </row>
    <row r="63" spans="1:10">
      <c r="A63" s="113"/>
      <c r="B63" s="113"/>
      <c r="C63" s="21"/>
    </row>
    <row r="64" spans="1:10">
      <c r="A64" s="113"/>
      <c r="B64" s="113"/>
      <c r="C64" s="21"/>
    </row>
    <row r="65" spans="1:11">
      <c r="A65" s="113"/>
      <c r="B65" s="113"/>
      <c r="C65" s="21"/>
    </row>
    <row r="66" spans="1:11">
      <c r="A66" s="85" t="s">
        <v>183</v>
      </c>
      <c r="B66" s="86"/>
      <c r="C66" s="86"/>
      <c r="D66" s="86"/>
      <c r="E66" s="86"/>
      <c r="F66" s="86"/>
      <c r="G66" s="86"/>
      <c r="H66" s="86"/>
      <c r="I66" s="86"/>
      <c r="J66" s="86"/>
      <c r="K66" s="87"/>
    </row>
    <row r="68" spans="1:11" ht="15.75" customHeight="1">
      <c r="A68" s="70" t="s">
        <v>184</v>
      </c>
      <c r="B68" s="7"/>
      <c r="C68" s="58" t="s">
        <v>191</v>
      </c>
      <c r="D68" s="71" t="s">
        <v>192</v>
      </c>
      <c r="F68" s="70" t="s">
        <v>188</v>
      </c>
      <c r="G68" s="71"/>
      <c r="H68" s="58" t="s">
        <v>191</v>
      </c>
      <c r="I68" s="58" t="s">
        <v>192</v>
      </c>
    </row>
    <row r="69" spans="1:11">
      <c r="A69" s="31" t="s">
        <v>185</v>
      </c>
      <c r="B69" s="34"/>
      <c r="C69" s="9">
        <v>300000</v>
      </c>
      <c r="D69" s="79">
        <f>+C69</f>
        <v>300000</v>
      </c>
      <c r="F69" s="31" t="s">
        <v>185</v>
      </c>
      <c r="G69" s="33"/>
      <c r="H69" s="9">
        <v>250000</v>
      </c>
      <c r="I69" s="9">
        <f>+H69</f>
        <v>250000</v>
      </c>
    </row>
    <row r="70" spans="1:11">
      <c r="A70" s="31" t="s">
        <v>186</v>
      </c>
      <c r="B70" s="34"/>
      <c r="C70" s="9">
        <v>500000</v>
      </c>
      <c r="D70" s="79">
        <f>+C70</f>
        <v>500000</v>
      </c>
      <c r="F70" s="31" t="s">
        <v>186</v>
      </c>
      <c r="G70" s="33"/>
      <c r="H70" s="9">
        <v>600000</v>
      </c>
      <c r="I70" s="9">
        <f>+H70</f>
        <v>600000</v>
      </c>
    </row>
    <row r="71" spans="1:11">
      <c r="A71" s="31" t="s">
        <v>187</v>
      </c>
      <c r="B71" s="34"/>
      <c r="C71" s="9">
        <v>200000</v>
      </c>
      <c r="D71" s="79">
        <v>168000</v>
      </c>
      <c r="F71" s="31" t="s">
        <v>187</v>
      </c>
      <c r="G71" s="33"/>
      <c r="H71" s="9">
        <v>150000</v>
      </c>
      <c r="I71" s="9">
        <v>153000</v>
      </c>
    </row>
    <row r="72" spans="1:11">
      <c r="A72" s="80" t="s">
        <v>190</v>
      </c>
      <c r="B72" s="6"/>
      <c r="C72" s="10">
        <f>+C69+C70-C71</f>
        <v>600000</v>
      </c>
      <c r="D72" s="81">
        <f>+D69+D70-D71</f>
        <v>632000</v>
      </c>
      <c r="F72" s="80" t="s">
        <v>190</v>
      </c>
      <c r="G72" s="40"/>
      <c r="H72" s="10">
        <f>+H69+H70-H71</f>
        <v>700000</v>
      </c>
      <c r="I72" s="10">
        <f>+I69+I70-I71</f>
        <v>697000</v>
      </c>
    </row>
    <row r="73" spans="1:11">
      <c r="A73" s="196" t="s">
        <v>193</v>
      </c>
      <c r="B73" s="197"/>
      <c r="C73" s="197">
        <f>+C72-D72</f>
        <v>-32000</v>
      </c>
      <c r="D73" s="203"/>
      <c r="F73" s="196" t="s">
        <v>193</v>
      </c>
      <c r="G73" s="197"/>
      <c r="H73" s="215">
        <f>+H72-I72</f>
        <v>3000</v>
      </c>
      <c r="I73" s="216"/>
    </row>
    <row r="76" spans="1:11">
      <c r="A76" s="8" t="s">
        <v>198</v>
      </c>
      <c r="F76" s="70" t="s">
        <v>189</v>
      </c>
      <c r="G76" s="7"/>
      <c r="H76" s="7" t="s">
        <v>191</v>
      </c>
      <c r="I76" s="71" t="s">
        <v>192</v>
      </c>
    </row>
    <row r="77" spans="1:11">
      <c r="F77" s="73" t="s">
        <v>185</v>
      </c>
      <c r="G77" s="74"/>
      <c r="H77" s="82">
        <v>100000</v>
      </c>
      <c r="I77" s="83">
        <f>+H77</f>
        <v>100000</v>
      </c>
    </row>
    <row r="78" spans="1:11">
      <c r="A78" s="1" t="s">
        <v>194</v>
      </c>
      <c r="D78" s="78">
        <v>2600</v>
      </c>
      <c r="F78" s="31" t="s">
        <v>186</v>
      </c>
      <c r="G78" s="33"/>
      <c r="H78" s="42">
        <v>50000</v>
      </c>
      <c r="I78" s="9">
        <f>+H78</f>
        <v>50000</v>
      </c>
    </row>
    <row r="79" spans="1:11">
      <c r="A79" s="34" t="s">
        <v>195</v>
      </c>
      <c r="B79" s="34"/>
      <c r="C79" s="34"/>
      <c r="D79" s="208">
        <v>24</v>
      </c>
      <c r="F79" s="31" t="s">
        <v>187</v>
      </c>
      <c r="G79" s="33"/>
      <c r="H79" s="42">
        <v>65000</v>
      </c>
      <c r="I79" s="9">
        <f>+D82</f>
        <v>62400</v>
      </c>
    </row>
    <row r="80" spans="1:11">
      <c r="A80" s="34" t="s">
        <v>196</v>
      </c>
      <c r="B80" s="34"/>
      <c r="C80" s="34"/>
      <c r="D80" s="208"/>
      <c r="F80" s="80" t="s">
        <v>190</v>
      </c>
      <c r="G80" s="40"/>
      <c r="H80" s="23">
        <f>+H77+H78-H79</f>
        <v>85000</v>
      </c>
      <c r="I80" s="10">
        <f>+I77+I78-I79</f>
        <v>87600</v>
      </c>
    </row>
    <row r="81" spans="1:11">
      <c r="A81" s="6" t="s">
        <v>197</v>
      </c>
      <c r="B81" s="6"/>
      <c r="C81" s="6"/>
      <c r="D81" s="209"/>
      <c r="F81" s="196" t="s">
        <v>193</v>
      </c>
      <c r="G81" s="197"/>
      <c r="H81" s="197">
        <f>+H80-I80</f>
        <v>-2600</v>
      </c>
      <c r="I81" s="203"/>
    </row>
    <row r="82" spans="1:11">
      <c r="A82" s="1" t="s">
        <v>200</v>
      </c>
      <c r="D82" s="22">
        <f>+D78*D79</f>
        <v>62400</v>
      </c>
    </row>
    <row r="84" spans="1:11">
      <c r="A84" s="70" t="s">
        <v>199</v>
      </c>
      <c r="B84" s="7"/>
      <c r="C84" s="7"/>
      <c r="D84" s="7"/>
      <c r="E84" s="7"/>
      <c r="F84" s="7"/>
      <c r="G84" s="84">
        <f>+C73+H73+H81</f>
        <v>-31600</v>
      </c>
    </row>
    <row r="87" spans="1:11">
      <c r="A87" s="85" t="s">
        <v>203</v>
      </c>
      <c r="B87" s="86"/>
      <c r="C87" s="86"/>
      <c r="D87" s="86"/>
      <c r="E87" s="86"/>
      <c r="F87" s="86"/>
      <c r="G87" s="86"/>
      <c r="H87" s="86"/>
      <c r="I87" s="86"/>
      <c r="J87" s="86"/>
      <c r="K87" s="87"/>
    </row>
    <row r="89" spans="1:11">
      <c r="A89" s="90" t="s">
        <v>204</v>
      </c>
      <c r="B89" s="91"/>
      <c r="C89" s="72" t="s">
        <v>209</v>
      </c>
      <c r="D89" s="72" t="s">
        <v>208</v>
      </c>
      <c r="E89" s="72" t="s">
        <v>127</v>
      </c>
      <c r="F89" s="59" t="s">
        <v>210</v>
      </c>
      <c r="G89" s="58" t="s">
        <v>211</v>
      </c>
      <c r="H89" s="58" t="s">
        <v>212</v>
      </c>
    </row>
    <row r="90" spans="1:11">
      <c r="A90" s="70" t="s">
        <v>206</v>
      </c>
      <c r="B90" s="71"/>
      <c r="C90" s="92">
        <v>39814</v>
      </c>
      <c r="D90" s="11">
        <v>850000</v>
      </c>
      <c r="E90" s="75">
        <v>50</v>
      </c>
      <c r="F90" s="11">
        <v>17000</v>
      </c>
      <c r="G90" s="11">
        <f>+E99</f>
        <v>11390</v>
      </c>
      <c r="H90" s="11">
        <f>+F90-G90</f>
        <v>5610</v>
      </c>
    </row>
    <row r="91" spans="1:11">
      <c r="A91" s="39" t="s">
        <v>207</v>
      </c>
      <c r="B91" s="40"/>
      <c r="C91" s="92">
        <v>40364</v>
      </c>
      <c r="D91" s="11">
        <v>90000</v>
      </c>
      <c r="E91" s="75">
        <v>5</v>
      </c>
      <c r="F91" s="11">
        <v>18000</v>
      </c>
      <c r="G91" s="11">
        <f>+G101</f>
        <v>4000</v>
      </c>
      <c r="H91" s="11">
        <f t="shared" ref="H91:H92" si="0">+F91-G91</f>
        <v>14000</v>
      </c>
    </row>
    <row r="92" spans="1:11">
      <c r="A92" s="70" t="s">
        <v>205</v>
      </c>
      <c r="B92" s="71"/>
      <c r="C92" s="92">
        <v>41374</v>
      </c>
      <c r="D92" s="11">
        <v>30000</v>
      </c>
      <c r="E92" s="75">
        <v>3</v>
      </c>
      <c r="F92" s="11">
        <v>10000</v>
      </c>
      <c r="G92" s="11">
        <f>+D105</f>
        <v>8333.3333333333339</v>
      </c>
      <c r="H92" s="11">
        <f t="shared" si="0"/>
        <v>1666.6666666666661</v>
      </c>
    </row>
    <row r="93" spans="1:11">
      <c r="A93" s="70" t="s">
        <v>213</v>
      </c>
      <c r="B93" s="71"/>
      <c r="C93" s="92">
        <v>41522</v>
      </c>
      <c r="D93" s="11">
        <v>30000</v>
      </c>
      <c r="E93" s="58"/>
      <c r="F93" s="11">
        <v>0</v>
      </c>
      <c r="G93" s="11">
        <f>+C121</f>
        <v>329.67032967032969</v>
      </c>
      <c r="H93" s="11">
        <f>+F93-G93</f>
        <v>-329.67032967032969</v>
      </c>
    </row>
    <row r="94" spans="1:11">
      <c r="H94" s="52">
        <f>SUM(H90:H93)</f>
        <v>20946.996336996333</v>
      </c>
      <c r="I94" s="2" t="s">
        <v>180</v>
      </c>
      <c r="J94" s="2"/>
    </row>
    <row r="95" spans="1:11">
      <c r="A95" s="8" t="s">
        <v>214</v>
      </c>
    </row>
    <row r="96" spans="1:11">
      <c r="A96" s="1" t="s">
        <v>215</v>
      </c>
      <c r="E96" s="22">
        <f>+D90</f>
        <v>850000</v>
      </c>
    </row>
    <row r="97" spans="1:10">
      <c r="A97" s="1" t="s">
        <v>216</v>
      </c>
      <c r="E97" s="22"/>
    </row>
    <row r="98" spans="1:10">
      <c r="A98" s="1" t="s">
        <v>217</v>
      </c>
      <c r="E98" s="22">
        <f>+E96*67%</f>
        <v>569500</v>
      </c>
    </row>
    <row r="99" spans="1:10">
      <c r="A99" s="1" t="s">
        <v>218</v>
      </c>
      <c r="E99" s="52">
        <f>+E98/200*4</f>
        <v>11390</v>
      </c>
    </row>
    <row r="100" spans="1:10">
      <c r="A100" s="8" t="s">
        <v>219</v>
      </c>
    </row>
    <row r="101" spans="1:10" ht="17.25">
      <c r="A101" s="168" t="s">
        <v>220</v>
      </c>
      <c r="B101" s="168"/>
      <c r="C101" s="168"/>
      <c r="D101" s="168"/>
      <c r="E101" s="93" t="s">
        <v>221</v>
      </c>
      <c r="F101" s="94">
        <v>20000</v>
      </c>
      <c r="G101" s="52">
        <f>+F101/F102</f>
        <v>4000</v>
      </c>
    </row>
    <row r="102" spans="1:10">
      <c r="A102" s="168" t="s">
        <v>222</v>
      </c>
      <c r="B102" s="168"/>
      <c r="C102" s="168"/>
      <c r="D102" s="168"/>
      <c r="E102" s="28"/>
      <c r="F102" s="16">
        <v>5</v>
      </c>
    </row>
    <row r="104" spans="1:10">
      <c r="A104" s="8" t="s">
        <v>344</v>
      </c>
    </row>
    <row r="105" spans="1:10">
      <c r="A105" s="54" t="s">
        <v>208</v>
      </c>
      <c r="B105" s="54">
        <f>+C201</f>
        <v>25000</v>
      </c>
      <c r="C105" s="28" t="s">
        <v>221</v>
      </c>
      <c r="D105" s="52">
        <f>+B105/B106</f>
        <v>8333.3333333333339</v>
      </c>
      <c r="I105" s="90" t="s">
        <v>93</v>
      </c>
      <c r="J105" s="114">
        <v>1</v>
      </c>
    </row>
    <row r="106" spans="1:10">
      <c r="A106" s="95" t="s">
        <v>127</v>
      </c>
      <c r="B106" s="78">
        <v>3</v>
      </c>
      <c r="I106" s="24" t="s">
        <v>92</v>
      </c>
      <c r="J106" s="115">
        <v>2</v>
      </c>
    </row>
    <row r="107" spans="1:10">
      <c r="I107" s="24" t="s">
        <v>236</v>
      </c>
      <c r="J107" s="115">
        <v>3</v>
      </c>
    </row>
    <row r="108" spans="1:10">
      <c r="A108" s="8" t="s">
        <v>223</v>
      </c>
      <c r="I108" s="116" t="s">
        <v>94</v>
      </c>
      <c r="J108" s="117">
        <v>4</v>
      </c>
    </row>
    <row r="109" spans="1:10">
      <c r="A109" s="1" t="s">
        <v>225</v>
      </c>
    </row>
    <row r="110" spans="1:10">
      <c r="A110" s="1" t="s">
        <v>226</v>
      </c>
      <c r="D110" s="88">
        <v>39814</v>
      </c>
    </row>
    <row r="111" spans="1:10">
      <c r="A111" s="1" t="s">
        <v>227</v>
      </c>
      <c r="D111" s="88">
        <v>41522</v>
      </c>
      <c r="I111" s="28" t="s">
        <v>89</v>
      </c>
      <c r="J111" s="24" t="s">
        <v>90</v>
      </c>
    </row>
    <row r="112" spans="1:10">
      <c r="A112" s="1" t="s">
        <v>228</v>
      </c>
      <c r="D112" s="22">
        <v>30000</v>
      </c>
      <c r="I112" s="25">
        <v>2009</v>
      </c>
      <c r="J112" s="26">
        <v>4</v>
      </c>
    </row>
    <row r="113" spans="1:11">
      <c r="A113" s="1" t="s">
        <v>229</v>
      </c>
      <c r="I113" s="16">
        <v>2010</v>
      </c>
      <c r="J113" s="27">
        <v>4</v>
      </c>
    </row>
    <row r="114" spans="1:11">
      <c r="A114" s="1" t="s">
        <v>230</v>
      </c>
      <c r="I114" s="16">
        <v>2011</v>
      </c>
      <c r="J114" s="27">
        <v>4</v>
      </c>
    </row>
    <row r="115" spans="1:11">
      <c r="I115" s="16">
        <v>2012</v>
      </c>
      <c r="J115" s="27">
        <v>4</v>
      </c>
    </row>
    <row r="116" spans="1:11" ht="15.75" thickBot="1">
      <c r="A116" s="106" t="s">
        <v>231</v>
      </c>
      <c r="B116" s="106"/>
      <c r="C116" s="106"/>
      <c r="D116" s="106"/>
      <c r="E116" s="106"/>
      <c r="F116" s="107">
        <v>200</v>
      </c>
      <c r="G116" s="1" t="s">
        <v>90</v>
      </c>
      <c r="I116" s="102">
        <v>2013</v>
      </c>
      <c r="J116" s="103">
        <v>2</v>
      </c>
    </row>
    <row r="117" spans="1:11">
      <c r="A117" s="104" t="s">
        <v>232</v>
      </c>
      <c r="B117" s="104"/>
      <c r="C117" s="104"/>
      <c r="D117" s="104"/>
      <c r="E117" s="104"/>
      <c r="F117" s="105">
        <f>+J117</f>
        <v>18</v>
      </c>
      <c r="G117" s="1" t="s">
        <v>90</v>
      </c>
      <c r="J117" s="78">
        <f>SUM(J112:J116)</f>
        <v>18</v>
      </c>
    </row>
    <row r="118" spans="1:11">
      <c r="F118" s="77">
        <f>+F116-F117</f>
        <v>182</v>
      </c>
      <c r="G118" s="28" t="s">
        <v>90</v>
      </c>
      <c r="I118" s="32"/>
      <c r="J118" s="32"/>
    </row>
    <row r="119" spans="1:11">
      <c r="G119" s="28" t="s">
        <v>233</v>
      </c>
    </row>
    <row r="120" spans="1:11">
      <c r="A120" s="1" t="s">
        <v>234</v>
      </c>
      <c r="F120" s="101"/>
    </row>
    <row r="121" spans="1:11">
      <c r="A121" s="89" t="s">
        <v>237</v>
      </c>
      <c r="C121" s="52">
        <f>+D112/F118*2</f>
        <v>329.67032967032969</v>
      </c>
    </row>
    <row r="122" spans="1:11">
      <c r="A122" s="1" t="s">
        <v>238</v>
      </c>
    </row>
    <row r="123" spans="1:11">
      <c r="A123" s="1" t="s">
        <v>235</v>
      </c>
    </row>
    <row r="125" spans="1:11">
      <c r="A125" s="85" t="s">
        <v>241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7"/>
    </row>
    <row r="126" spans="1:11">
      <c r="A126" s="1" t="s">
        <v>242</v>
      </c>
    </row>
    <row r="127" spans="1:11">
      <c r="A127" s="58"/>
      <c r="B127" s="72" t="s">
        <v>246</v>
      </c>
      <c r="C127" s="210" t="s">
        <v>249</v>
      </c>
      <c r="D127" s="210"/>
    </row>
    <row r="128" spans="1:11">
      <c r="A128" s="58" t="s">
        <v>243</v>
      </c>
      <c r="B128" s="11">
        <v>6000</v>
      </c>
      <c r="C128" s="186" t="s">
        <v>247</v>
      </c>
      <c r="D128" s="186"/>
      <c r="E128" s="1" t="s">
        <v>252</v>
      </c>
    </row>
    <row r="129" spans="1:11">
      <c r="A129" s="58" t="s">
        <v>244</v>
      </c>
      <c r="B129" s="11">
        <v>26000</v>
      </c>
      <c r="C129" s="186" t="s">
        <v>248</v>
      </c>
      <c r="D129" s="186"/>
      <c r="E129" s="1" t="s">
        <v>250</v>
      </c>
    </row>
    <row r="130" spans="1:11">
      <c r="A130" s="58" t="s">
        <v>245</v>
      </c>
      <c r="B130" s="11">
        <v>48000</v>
      </c>
      <c r="C130" s="186" t="s">
        <v>248</v>
      </c>
      <c r="D130" s="186"/>
      <c r="E130" s="1" t="s">
        <v>251</v>
      </c>
    </row>
    <row r="131" spans="1:11">
      <c r="B131" s="22">
        <f>SUM(B128:B130)</f>
        <v>80000</v>
      </c>
    </row>
    <row r="132" spans="1:11">
      <c r="A132" s="1" t="s">
        <v>253</v>
      </c>
    </row>
    <row r="133" spans="1:11">
      <c r="A133" s="58"/>
      <c r="B133" s="72" t="s">
        <v>246</v>
      </c>
    </row>
    <row r="134" spans="1:11">
      <c r="A134" s="58" t="s">
        <v>243</v>
      </c>
      <c r="B134" s="11">
        <v>6000</v>
      </c>
    </row>
    <row r="135" spans="1:11">
      <c r="A135" s="58" t="s">
        <v>245</v>
      </c>
      <c r="B135" s="11">
        <v>48000</v>
      </c>
    </row>
    <row r="136" spans="1:11">
      <c r="B136" s="1">
        <f>SUM(B134:B135)</f>
        <v>54000</v>
      </c>
    </row>
    <row r="138" spans="1:11">
      <c r="A138" s="1" t="s">
        <v>254</v>
      </c>
      <c r="D138" s="52">
        <f>+B131-B136</f>
        <v>26000</v>
      </c>
    </row>
    <row r="140" spans="1:11">
      <c r="A140" s="85" t="s">
        <v>265</v>
      </c>
      <c r="B140" s="86"/>
      <c r="C140" s="86"/>
      <c r="D140" s="86"/>
      <c r="E140" s="86"/>
      <c r="F140" s="86"/>
      <c r="G140" s="86"/>
      <c r="H140" s="86"/>
      <c r="I140" s="86"/>
      <c r="J140" s="86"/>
      <c r="K140" s="87"/>
    </row>
    <row r="141" spans="1:11">
      <c r="A141" s="1" t="s">
        <v>267</v>
      </c>
      <c r="D141" s="22">
        <v>100000</v>
      </c>
    </row>
    <row r="142" spans="1:11">
      <c r="A142" s="1" t="s">
        <v>269</v>
      </c>
      <c r="D142" s="22">
        <f>+D141*1.5%</f>
        <v>1500</v>
      </c>
      <c r="E142" s="109"/>
    </row>
    <row r="143" spans="1:11">
      <c r="A143" s="6" t="s">
        <v>268</v>
      </c>
      <c r="B143" s="6"/>
      <c r="C143" s="6"/>
      <c r="D143" s="23">
        <v>15000</v>
      </c>
    </row>
    <row r="144" spans="1:11">
      <c r="A144" s="1" t="s">
        <v>270</v>
      </c>
      <c r="D144" s="52">
        <f>+D143-D142</f>
        <v>13500</v>
      </c>
    </row>
    <row r="146" spans="1:11">
      <c r="A146" s="85" t="s">
        <v>266</v>
      </c>
      <c r="B146" s="86"/>
      <c r="C146" s="86"/>
      <c r="D146" s="86"/>
      <c r="E146" s="86"/>
      <c r="F146" s="86"/>
      <c r="G146" s="86"/>
      <c r="H146" s="86"/>
      <c r="I146" s="86"/>
      <c r="J146" s="86"/>
      <c r="K146" s="87"/>
    </row>
    <row r="147" spans="1:11">
      <c r="A147" s="1" t="s">
        <v>259</v>
      </c>
      <c r="C147" s="1" t="s">
        <v>263</v>
      </c>
      <c r="F147" s="1" t="s">
        <v>262</v>
      </c>
    </row>
    <row r="148" spans="1:11">
      <c r="C148" s="1" t="s">
        <v>260</v>
      </c>
      <c r="F148" s="1" t="s">
        <v>261</v>
      </c>
    </row>
    <row r="149" spans="1:11">
      <c r="A149" s="1" t="s">
        <v>272</v>
      </c>
      <c r="B149" s="88">
        <v>41639</v>
      </c>
    </row>
    <row r="150" spans="1:11">
      <c r="A150" s="1" t="s">
        <v>273</v>
      </c>
      <c r="B150" s="88">
        <v>41744</v>
      </c>
    </row>
    <row r="151" spans="1:11">
      <c r="A151" s="1" t="s">
        <v>275</v>
      </c>
      <c r="B151" s="88">
        <v>41640</v>
      </c>
      <c r="C151" s="22">
        <v>10000</v>
      </c>
    </row>
    <row r="152" spans="1:11">
      <c r="A152" s="1" t="s">
        <v>274</v>
      </c>
      <c r="B152" s="88">
        <v>41821</v>
      </c>
      <c r="C152" s="22">
        <v>10000</v>
      </c>
    </row>
    <row r="153" spans="1:11">
      <c r="A153" s="1" t="s">
        <v>271</v>
      </c>
    </row>
    <row r="155" spans="1:11">
      <c r="A155" s="1" t="s">
        <v>276</v>
      </c>
      <c r="C155" s="22">
        <v>20000</v>
      </c>
    </row>
    <row r="156" spans="1:11">
      <c r="A156" s="6" t="s">
        <v>277</v>
      </c>
      <c r="B156" s="6"/>
      <c r="C156" s="23">
        <v>10000</v>
      </c>
    </row>
    <row r="157" spans="1:11">
      <c r="A157" s="1" t="s">
        <v>278</v>
      </c>
      <c r="C157" s="22">
        <f>+C155-C156</f>
        <v>10000</v>
      </c>
    </row>
    <row r="159" spans="1:11">
      <c r="A159" s="85" t="s">
        <v>280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7"/>
    </row>
    <row r="160" spans="1:11">
      <c r="A160" s="1" t="s">
        <v>283</v>
      </c>
    </row>
    <row r="161" spans="1:10">
      <c r="A161" s="1" t="s">
        <v>281</v>
      </c>
    </row>
    <row r="162" spans="1:10">
      <c r="A162" s="1" t="s">
        <v>282</v>
      </c>
    </row>
    <row r="163" spans="1:10">
      <c r="A163" s="1" t="s">
        <v>284</v>
      </c>
      <c r="G163" s="69" t="s">
        <v>287</v>
      </c>
    </row>
    <row r="164" spans="1:10">
      <c r="A164" s="1" t="s">
        <v>285</v>
      </c>
      <c r="G164" s="69" t="s">
        <v>286</v>
      </c>
    </row>
    <row r="165" spans="1:10">
      <c r="A165" s="207" t="s">
        <v>288</v>
      </c>
      <c r="B165" s="207"/>
      <c r="C165" s="14"/>
      <c r="D165" s="14"/>
      <c r="E165" s="14"/>
      <c r="F165" s="14"/>
      <c r="G165" s="207" t="s">
        <v>289</v>
      </c>
      <c r="H165" s="207"/>
    </row>
    <row r="166" spans="1:10">
      <c r="B166" s="39"/>
      <c r="C166" s="213">
        <v>20000</v>
      </c>
      <c r="D166" s="213"/>
      <c r="E166" s="6"/>
      <c r="F166" s="213">
        <v>20000</v>
      </c>
      <c r="G166" s="214"/>
    </row>
    <row r="167" spans="1:10">
      <c r="C167" s="74"/>
      <c r="F167" s="74"/>
    </row>
    <row r="168" spans="1:10">
      <c r="C168" s="168" t="s">
        <v>290</v>
      </c>
      <c r="D168" s="168"/>
      <c r="F168" s="168" t="s">
        <v>291</v>
      </c>
      <c r="G168" s="168"/>
    </row>
    <row r="171" spans="1:10">
      <c r="E171" s="69" t="s">
        <v>292</v>
      </c>
    </row>
    <row r="173" spans="1:10">
      <c r="A173" s="1" t="s">
        <v>293</v>
      </c>
      <c r="B173" s="1" t="s">
        <v>294</v>
      </c>
      <c r="E173" s="52">
        <f>20000*24%*(0.583333333333333)</f>
        <v>2799.9999999999986</v>
      </c>
    </row>
    <row r="175" spans="1:10">
      <c r="A175" s="1" t="s">
        <v>295</v>
      </c>
      <c r="B175" s="1" t="s">
        <v>296</v>
      </c>
      <c r="H175" s="1" t="s">
        <v>301</v>
      </c>
    </row>
    <row r="176" spans="1:10">
      <c r="B176" s="1" t="s">
        <v>297</v>
      </c>
      <c r="D176" s="176" t="s">
        <v>298</v>
      </c>
      <c r="E176" s="176"/>
      <c r="F176" s="22">
        <f>+(20000*8%*7)/12</f>
        <v>933.33333333333337</v>
      </c>
      <c r="H176" s="1" t="s">
        <v>302</v>
      </c>
      <c r="I176" s="52">
        <f>+E173</f>
        <v>2799.9999999999986</v>
      </c>
      <c r="J176" s="1" t="s">
        <v>303</v>
      </c>
    </row>
    <row r="177" spans="1:11">
      <c r="D177" s="168" t="s">
        <v>299</v>
      </c>
      <c r="E177" s="168"/>
      <c r="J177" s="1" t="s">
        <v>304</v>
      </c>
    </row>
    <row r="178" spans="1:11">
      <c r="B178" s="110" t="s">
        <v>300</v>
      </c>
      <c r="J178" s="1" t="s">
        <v>305</v>
      </c>
    </row>
    <row r="181" spans="1:11">
      <c r="A181" s="85" t="s">
        <v>337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7"/>
    </row>
    <row r="182" spans="1:11">
      <c r="A182" s="1" t="s">
        <v>338</v>
      </c>
      <c r="C182" s="1">
        <v>35000</v>
      </c>
    </row>
    <row r="183" spans="1:11">
      <c r="A183" s="6" t="s">
        <v>342</v>
      </c>
      <c r="B183" s="6"/>
      <c r="C183" s="119">
        <v>5</v>
      </c>
      <c r="D183" s="1" t="s">
        <v>339</v>
      </c>
    </row>
    <row r="184" spans="1:11">
      <c r="A184" s="1" t="s">
        <v>340</v>
      </c>
      <c r="C184" s="2">
        <f>-C182/C183</f>
        <v>-7000</v>
      </c>
      <c r="D184" s="1" t="s">
        <v>341</v>
      </c>
    </row>
    <row r="186" spans="1:11">
      <c r="A186" s="85" t="s">
        <v>343</v>
      </c>
      <c r="B186" s="86"/>
      <c r="C186" s="86"/>
      <c r="D186" s="86"/>
      <c r="E186" s="86"/>
      <c r="F186" s="86"/>
      <c r="G186" s="86"/>
      <c r="H186" s="86"/>
      <c r="I186" s="86"/>
      <c r="J186" s="86"/>
      <c r="K186" s="87"/>
    </row>
    <row r="187" spans="1:11">
      <c r="A187" s="1" t="s">
        <v>345</v>
      </c>
      <c r="D187" s="14">
        <v>2009</v>
      </c>
    </row>
    <row r="188" spans="1:11">
      <c r="A188" s="1" t="s">
        <v>347</v>
      </c>
      <c r="D188" s="88">
        <v>41458</v>
      </c>
    </row>
    <row r="189" spans="1:11">
      <c r="A189" s="1" t="s">
        <v>348</v>
      </c>
      <c r="D189" s="14"/>
    </row>
    <row r="190" spans="1:11">
      <c r="A190" s="1" t="s">
        <v>346</v>
      </c>
      <c r="D190" s="88">
        <v>41465</v>
      </c>
    </row>
    <row r="191" spans="1:11">
      <c r="D191" s="14"/>
    </row>
    <row r="192" spans="1:11">
      <c r="A192" s="1" t="s">
        <v>350</v>
      </c>
    </row>
    <row r="193" spans="1:4">
      <c r="A193" s="1" t="s">
        <v>351</v>
      </c>
      <c r="C193" s="22">
        <v>5000</v>
      </c>
    </row>
    <row r="194" spans="1:4">
      <c r="A194" s="5" t="s">
        <v>352</v>
      </c>
      <c r="B194" s="6"/>
      <c r="C194" s="23">
        <v>0</v>
      </c>
    </row>
    <row r="195" spans="1:4">
      <c r="A195" s="1" t="s">
        <v>353</v>
      </c>
      <c r="C195" s="22">
        <f>+C193-C194</f>
        <v>5000</v>
      </c>
    </row>
    <row r="198" spans="1:4">
      <c r="A198" s="1" t="s">
        <v>354</v>
      </c>
    </row>
    <row r="199" spans="1:4">
      <c r="A199" s="1" t="s">
        <v>355</v>
      </c>
      <c r="C199" s="1">
        <v>30000</v>
      </c>
    </row>
    <row r="200" spans="1:4">
      <c r="A200" s="6" t="s">
        <v>356</v>
      </c>
      <c r="B200" s="6"/>
      <c r="C200" s="6">
        <f>-C195</f>
        <v>-5000</v>
      </c>
    </row>
    <row r="201" spans="1:4">
      <c r="A201" s="1" t="s">
        <v>208</v>
      </c>
      <c r="C201" s="1">
        <f>+C199+C200</f>
        <v>25000</v>
      </c>
    </row>
    <row r="203" spans="1:4">
      <c r="A203" s="1" t="s">
        <v>349</v>
      </c>
      <c r="D203" s="2">
        <v>-5000</v>
      </c>
    </row>
    <row r="205" spans="1:4">
      <c r="A205" s="1" t="s">
        <v>357</v>
      </c>
    </row>
    <row r="206" spans="1:4">
      <c r="A206" s="1" t="s">
        <v>358</v>
      </c>
    </row>
    <row r="207" spans="1:4">
      <c r="A207" s="1" t="s">
        <v>359</v>
      </c>
    </row>
    <row r="209" spans="1:11">
      <c r="A209" s="85" t="s">
        <v>360</v>
      </c>
      <c r="B209" s="86"/>
      <c r="C209" s="86"/>
      <c r="D209" s="86"/>
      <c r="E209" s="86"/>
      <c r="F209" s="86"/>
      <c r="G209" s="86"/>
      <c r="H209" s="86"/>
      <c r="I209" s="86"/>
      <c r="J209" s="86"/>
      <c r="K209" s="87"/>
    </row>
    <row r="210" spans="1:11">
      <c r="A210" s="1" t="s">
        <v>361</v>
      </c>
    </row>
    <row r="211" spans="1:11">
      <c r="A211" s="1" t="s">
        <v>362</v>
      </c>
    </row>
    <row r="212" spans="1:11">
      <c r="A212" s="1" t="s">
        <v>363</v>
      </c>
    </row>
    <row r="213" spans="1:11">
      <c r="A213" s="1" t="s">
        <v>364</v>
      </c>
    </row>
    <row r="214" spans="1:11">
      <c r="A214" s="1" t="s">
        <v>365</v>
      </c>
    </row>
    <row r="215" spans="1:11">
      <c r="A215" s="1" t="s">
        <v>366</v>
      </c>
      <c r="F215" s="52">
        <v>-10000</v>
      </c>
    </row>
    <row r="217" spans="1:11">
      <c r="A217" s="85" t="s">
        <v>367</v>
      </c>
      <c r="B217" s="122"/>
      <c r="C217" s="122"/>
      <c r="D217" s="122"/>
      <c r="E217" s="122"/>
      <c r="F217" s="122"/>
      <c r="G217" s="122"/>
      <c r="H217" s="122"/>
      <c r="I217" s="122"/>
      <c r="J217" s="122"/>
      <c r="K217" s="123"/>
    </row>
    <row r="218" spans="1:11">
      <c r="A218" s="1" t="s">
        <v>368</v>
      </c>
    </row>
    <row r="219" spans="1:11">
      <c r="A219" s="1" t="s">
        <v>369</v>
      </c>
    </row>
    <row r="220" spans="1:11">
      <c r="A220" s="1" t="s">
        <v>370</v>
      </c>
    </row>
    <row r="221" spans="1:11">
      <c r="A221" s="1" t="s">
        <v>371</v>
      </c>
    </row>
    <row r="222" spans="1:11">
      <c r="A222" s="1" t="s">
        <v>372</v>
      </c>
    </row>
    <row r="223" spans="1:11">
      <c r="A223" s="1" t="s">
        <v>373</v>
      </c>
      <c r="F223" s="2">
        <v>-10000</v>
      </c>
    </row>
    <row r="225" spans="1:11">
      <c r="A225" s="85" t="s">
        <v>374</v>
      </c>
      <c r="B225" s="122"/>
      <c r="C225" s="122"/>
      <c r="D225" s="122"/>
      <c r="E225" s="122"/>
      <c r="F225" s="122"/>
      <c r="G225" s="122"/>
      <c r="H225" s="122"/>
      <c r="I225" s="122"/>
      <c r="J225" s="122"/>
      <c r="K225" s="123"/>
    </row>
    <row r="226" spans="1:11">
      <c r="A226" s="1" t="s">
        <v>378</v>
      </c>
    </row>
    <row r="227" spans="1:11">
      <c r="A227" s="1" t="s">
        <v>379</v>
      </c>
    </row>
    <row r="231" spans="1:11">
      <c r="A231" s="1" t="s">
        <v>380</v>
      </c>
    </row>
    <row r="232" spans="1:11">
      <c r="A232" s="58"/>
      <c r="B232" s="58" t="s">
        <v>383</v>
      </c>
      <c r="C232" s="58" t="s">
        <v>384</v>
      </c>
    </row>
    <row r="233" spans="1:11">
      <c r="A233" s="58" t="s">
        <v>381</v>
      </c>
      <c r="B233" s="11">
        <v>50000</v>
      </c>
      <c r="C233" s="11">
        <v>12500</v>
      </c>
    </row>
    <row r="234" spans="1:11">
      <c r="A234" s="58" t="s">
        <v>382</v>
      </c>
      <c r="B234" s="11">
        <v>45000</v>
      </c>
      <c r="C234" s="11">
        <v>12500</v>
      </c>
    </row>
    <row r="235" spans="1:11">
      <c r="B235" s="22">
        <f>SUM(B233:B234)</f>
        <v>95000</v>
      </c>
      <c r="C235" s="52">
        <f>SUM(C233:C234)</f>
        <v>25000</v>
      </c>
      <c r="D235" s="2" t="s">
        <v>385</v>
      </c>
    </row>
    <row r="237" spans="1:11">
      <c r="A237" s="1" t="s">
        <v>386</v>
      </c>
      <c r="C237" s="141" t="s">
        <v>387</v>
      </c>
      <c r="D237" s="177" t="s">
        <v>388</v>
      </c>
      <c r="E237" s="177"/>
    </row>
    <row r="238" spans="1:11">
      <c r="C238" s="2"/>
      <c r="D238" s="228">
        <v>0.91249999999999998</v>
      </c>
      <c r="E238" s="228"/>
    </row>
    <row r="240" spans="1:11">
      <c r="A240" s="1" t="s">
        <v>389</v>
      </c>
      <c r="B240" s="1" t="s">
        <v>390</v>
      </c>
      <c r="C240" s="22">
        <f>+C60</f>
        <v>646000</v>
      </c>
      <c r="D240" s="1" t="s">
        <v>391</v>
      </c>
    </row>
    <row r="241" spans="1:7">
      <c r="B241" s="1" t="s">
        <v>392</v>
      </c>
      <c r="C241" s="22">
        <f>+E22</f>
        <v>655646.99633699632</v>
      </c>
      <c r="D241" s="1" t="s">
        <v>393</v>
      </c>
      <c r="E241" s="22"/>
    </row>
    <row r="243" spans="1:7">
      <c r="B243" s="142" t="s">
        <v>387</v>
      </c>
      <c r="C243" s="176" t="s">
        <v>394</v>
      </c>
      <c r="D243" s="176"/>
      <c r="E243" s="176"/>
      <c r="F243" s="52">
        <f>+(0.25*C240-0.0875*C241)/0.9125</f>
        <v>114116.04144713735</v>
      </c>
      <c r="G243" s="2" t="s">
        <v>395</v>
      </c>
    </row>
    <row r="244" spans="1:7">
      <c r="B244" s="143"/>
      <c r="C244" s="229">
        <v>0.91249999999999998</v>
      </c>
      <c r="D244" s="229"/>
      <c r="E244" s="229"/>
    </row>
    <row r="245" spans="1:7">
      <c r="A245" s="1" t="s">
        <v>396</v>
      </c>
    </row>
    <row r="246" spans="1:7">
      <c r="A246" s="1" t="s">
        <v>397</v>
      </c>
      <c r="E246" s="2">
        <v>-95000</v>
      </c>
    </row>
    <row r="249" spans="1:7">
      <c r="A249" s="1" t="s">
        <v>458</v>
      </c>
    </row>
    <row r="250" spans="1:7">
      <c r="A250" s="1" t="s">
        <v>7</v>
      </c>
    </row>
    <row r="251" spans="1:7">
      <c r="A251" s="1" t="s">
        <v>6</v>
      </c>
    </row>
    <row r="253" spans="1:7">
      <c r="A253" s="1" t="s">
        <v>398</v>
      </c>
    </row>
    <row r="254" spans="1:7">
      <c r="A254" s="1" t="s">
        <v>403</v>
      </c>
    </row>
    <row r="256" spans="1:7">
      <c r="A256" s="1" t="s">
        <v>399</v>
      </c>
    </row>
    <row r="257" spans="1:1">
      <c r="A257" s="1" t="s">
        <v>402</v>
      </c>
    </row>
    <row r="259" spans="1:1">
      <c r="A259" s="1" t="s">
        <v>400</v>
      </c>
    </row>
    <row r="260" spans="1:1">
      <c r="A260" s="1" t="s">
        <v>401</v>
      </c>
    </row>
  </sheetData>
  <mergeCells count="58">
    <mergeCell ref="G27:H27"/>
    <mergeCell ref="D237:E237"/>
    <mergeCell ref="D238:E238"/>
    <mergeCell ref="C243:E243"/>
    <mergeCell ref="C244:E244"/>
    <mergeCell ref="D176:E176"/>
    <mergeCell ref="D177:E177"/>
    <mergeCell ref="E22:F22"/>
    <mergeCell ref="G21:H21"/>
    <mergeCell ref="C166:D166"/>
    <mergeCell ref="F166:G166"/>
    <mergeCell ref="G165:H165"/>
    <mergeCell ref="C73:D73"/>
    <mergeCell ref="H73:I73"/>
    <mergeCell ref="G28:H28"/>
    <mergeCell ref="E24:F24"/>
    <mergeCell ref="E25:F25"/>
    <mergeCell ref="E26:F26"/>
    <mergeCell ref="E27:F27"/>
    <mergeCell ref="E28:F28"/>
    <mergeCell ref="G24:H24"/>
    <mergeCell ref="G25:H25"/>
    <mergeCell ref="G26:H26"/>
    <mergeCell ref="A165:B165"/>
    <mergeCell ref="C168:D168"/>
    <mergeCell ref="F168:G168"/>
    <mergeCell ref="H81:I81"/>
    <mergeCell ref="D79:D81"/>
    <mergeCell ref="C127:D127"/>
    <mergeCell ref="C129:D129"/>
    <mergeCell ref="C130:D130"/>
    <mergeCell ref="C128:D128"/>
    <mergeCell ref="A102:D102"/>
    <mergeCell ref="A101:D101"/>
    <mergeCell ref="F81:G81"/>
    <mergeCell ref="A73:B73"/>
    <mergeCell ref="F73:G73"/>
    <mergeCell ref="A3:K4"/>
    <mergeCell ref="E7:F7"/>
    <mergeCell ref="A7:D8"/>
    <mergeCell ref="A54:B54"/>
    <mergeCell ref="A53:C53"/>
    <mergeCell ref="I7:I8"/>
    <mergeCell ref="G7:H8"/>
    <mergeCell ref="J7:J8"/>
    <mergeCell ref="G9:H9"/>
    <mergeCell ref="G10:H10"/>
    <mergeCell ref="G11:H11"/>
    <mergeCell ref="G12:H12"/>
    <mergeCell ref="G13:H13"/>
    <mergeCell ref="G14:H14"/>
    <mergeCell ref="G17:H17"/>
    <mergeCell ref="G15:H15"/>
    <mergeCell ref="G16:H16"/>
    <mergeCell ref="G18:H18"/>
    <mergeCell ref="G23:H23"/>
    <mergeCell ref="G19:H19"/>
    <mergeCell ref="G20:H20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
UNIDAD VI&amp;R&amp;"-,Negrita"&amp;K00-045Florencia I. Taier</oddHeader>
    <oddFooter>&amp;L&amp;G &amp;C&amp;"-,Negrita"&amp;K00-047UCC. FACEA. 
IMPUESTOS I. Cát. "B"&amp;R&amp;"-,Negrita"&amp;K00-047Página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6.01</vt:lpstr>
      <vt:lpstr>6.02</vt:lpstr>
      <vt:lpstr>6.03</vt:lpstr>
      <vt:lpstr>6.04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Guest</cp:lastModifiedBy>
  <cp:lastPrinted>2014-07-13T05:31:02Z</cp:lastPrinted>
  <dcterms:created xsi:type="dcterms:W3CDTF">2013-12-27T15:56:41Z</dcterms:created>
  <dcterms:modified xsi:type="dcterms:W3CDTF">2014-09-22T15:19:51Z</dcterms:modified>
</cp:coreProperties>
</file>