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555" activeTab="3"/>
  </bookViews>
  <sheets>
    <sheet name="5.01" sheetId="4" r:id="rId1"/>
    <sheet name="5.02" sheetId="3" r:id="rId2"/>
    <sheet name="5.03" sheetId="2" r:id="rId3"/>
    <sheet name="5.04" sheetId="1" r:id="rId4"/>
    <sheet name="5.05" sheetId="6" r:id="rId5"/>
  </sheets>
  <calcPr calcId="125725"/>
</workbook>
</file>

<file path=xl/calcChain.xml><?xml version="1.0" encoding="utf-8"?>
<calcChain xmlns="http://schemas.openxmlformats.org/spreadsheetml/2006/main">
  <c r="C35" i="2"/>
  <c r="B96" l="1"/>
  <c r="B99"/>
  <c r="B98"/>
  <c r="B97"/>
  <c r="B100" l="1"/>
  <c r="B106" s="1"/>
  <c r="B80"/>
  <c r="B79"/>
  <c r="B77"/>
  <c r="B78"/>
  <c r="B107" l="1"/>
  <c r="D107" s="1"/>
  <c r="C106"/>
  <c r="C85"/>
  <c r="C107"/>
  <c r="D106"/>
  <c r="B105"/>
  <c r="C105"/>
  <c r="C108" s="1"/>
  <c r="E12" s="1"/>
  <c r="B81"/>
  <c r="B108" l="1"/>
  <c r="D105"/>
  <c r="D108" s="1"/>
  <c r="C86"/>
  <c r="B85"/>
  <c r="B86"/>
  <c r="D86" s="1"/>
  <c r="E14" i="6"/>
  <c r="B87" i="2" l="1"/>
  <c r="D85"/>
  <c r="D87" s="1"/>
  <c r="C87"/>
  <c r="E11" s="1"/>
  <c r="D10" i="4" l="1"/>
  <c r="D9"/>
  <c r="C89" i="6"/>
  <c r="C82"/>
  <c r="E32"/>
  <c r="E31"/>
  <c r="D57"/>
  <c r="D58" s="1"/>
  <c r="E11" s="1"/>
  <c r="E9"/>
  <c r="B75"/>
  <c r="B76" s="1"/>
  <c r="E26" s="1"/>
  <c r="E24"/>
  <c r="E20"/>
  <c r="E22" s="1"/>
  <c r="E70"/>
  <c r="E71" s="1"/>
  <c r="E16"/>
  <c r="E64"/>
  <c r="D61"/>
  <c r="E15" s="1"/>
  <c r="E27" l="1"/>
  <c r="E33"/>
  <c r="C66"/>
  <c r="E12"/>
  <c r="E17" s="1"/>
  <c r="E35" l="1"/>
  <c r="E41" s="1"/>
  <c r="B73" i="1"/>
  <c r="B72"/>
  <c r="C25"/>
  <c r="C58"/>
  <c r="D49"/>
  <c r="F74" s="1"/>
  <c r="D33"/>
  <c r="D22"/>
  <c r="D25" s="1"/>
  <c r="C36" l="1"/>
  <c r="F52" s="1"/>
  <c r="D59" s="1"/>
  <c r="D50"/>
  <c r="B58" s="1"/>
  <c r="B59" s="1"/>
  <c r="E47" i="6"/>
  <c r="B74" i="1"/>
  <c r="C72" s="1"/>
  <c r="D46" i="2"/>
  <c r="E48" s="1"/>
  <c r="E49" s="1"/>
  <c r="E54" s="1"/>
  <c r="C59"/>
  <c r="C58"/>
  <c r="C54"/>
  <c r="C53"/>
  <c r="B43"/>
  <c r="D52" s="1"/>
  <c r="B33"/>
  <c r="C98" i="4"/>
  <c r="C96" i="6" l="1"/>
  <c r="C101" s="1"/>
  <c r="C102" s="1"/>
  <c r="C104" s="1"/>
  <c r="E49" s="1"/>
  <c r="E51" s="1"/>
  <c r="D74" i="1"/>
  <c r="D72" s="1"/>
  <c r="D48"/>
  <c r="E9" i="2"/>
  <c r="C71" i="1"/>
  <c r="F71" s="1"/>
  <c r="F72"/>
  <c r="C73"/>
  <c r="F73" s="1"/>
  <c r="C74"/>
  <c r="D53" i="2"/>
  <c r="D54" s="1"/>
  <c r="D58" s="1"/>
  <c r="D59" s="1"/>
  <c r="E53"/>
  <c r="E55" s="1"/>
  <c r="E10" s="1"/>
  <c r="E59"/>
  <c r="E58"/>
  <c r="E31" i="3"/>
  <c r="E32"/>
  <c r="B50"/>
  <c r="B51" s="1"/>
  <c r="E18"/>
  <c r="E16"/>
  <c r="E12"/>
  <c r="B40"/>
  <c r="E24"/>
  <c r="E28" s="1"/>
  <c r="E9"/>
  <c r="E13" s="1"/>
  <c r="D71" i="1" l="1"/>
  <c r="E72"/>
  <c r="G72" s="1"/>
  <c r="H72" s="1"/>
  <c r="E13" i="2"/>
  <c r="E15" s="1"/>
  <c r="E24" s="1"/>
  <c r="C116" s="1"/>
  <c r="C121" s="1"/>
  <c r="C122" s="1"/>
  <c r="E26" s="1"/>
  <c r="D73" i="1"/>
  <c r="E60" i="2"/>
  <c r="E33" i="3"/>
  <c r="E15"/>
  <c r="E19" s="1"/>
  <c r="E30"/>
  <c r="G92" i="4"/>
  <c r="C83"/>
  <c r="C84" s="1"/>
  <c r="C86" s="1"/>
  <c r="B64"/>
  <c r="D68" s="1"/>
  <c r="B72"/>
  <c r="D19" s="1"/>
  <c r="D16"/>
  <c r="B47"/>
  <c r="B54" s="1"/>
  <c r="D13"/>
  <c r="B56" l="1"/>
  <c r="D12" s="1"/>
  <c r="E71" i="1"/>
  <c r="G71" s="1"/>
  <c r="H71" s="1"/>
  <c r="E73"/>
  <c r="C89" i="4"/>
  <c r="D20" s="1"/>
  <c r="D18"/>
  <c r="B57"/>
  <c r="B58"/>
  <c r="E74" i="1" l="1"/>
  <c r="G73"/>
  <c r="H73" s="1"/>
  <c r="H74" s="1"/>
  <c r="D14" i="4"/>
  <c r="B59"/>
  <c r="D21" l="1"/>
  <c r="D29" s="1"/>
  <c r="C103" s="1"/>
  <c r="D17"/>
  <c r="G74" i="1"/>
  <c r="C109" i="4" l="1"/>
  <c r="C111" s="1"/>
  <c r="D31" s="1"/>
  <c r="C108"/>
</calcChain>
</file>

<file path=xl/sharedStrings.xml><?xml version="1.0" encoding="utf-8"?>
<sst xmlns="http://schemas.openxmlformats.org/spreadsheetml/2006/main" count="570" uniqueCount="409">
  <si>
    <t>RESOLUCIÓN EJERCICIO Nº 5.01. PRIMERA CATEGORÍA. DETERMINACIÓN DE LA GANANCIA.</t>
  </si>
  <si>
    <t>RESOLUCIÓN EJERCICIO Nº 5.02. PRIMERA CATEGORÍA. ALQUILERES INCOBRABLES.</t>
  </si>
  <si>
    <t>RESOLUCIÓN EJERCICIO Nº 5.03. SEGUNDA CATEGORÍA. INTERESES PRESUNTOS.</t>
  </si>
  <si>
    <t>RESOLUCIÓN EJERCICIO Nº 5.04. CUARTA CATEGORÍA. HONORARIOS DE DIRECTORES Y SÍNDICOS.</t>
  </si>
  <si>
    <t>RESOLUCIÓN EJERCICIO Nº 5.05. ESQUEMA DE LIQUIDACIÓN.</t>
  </si>
  <si>
    <t>CONCEPTO</t>
  </si>
  <si>
    <t>Referencia</t>
  </si>
  <si>
    <t>Normativa</t>
  </si>
  <si>
    <t>TOTAL</t>
  </si>
  <si>
    <t>PRIMERA CATEGORÍA</t>
  </si>
  <si>
    <t>41 a) LIG</t>
  </si>
  <si>
    <t>41 d) LIG</t>
  </si>
  <si>
    <t>Ganancia Bruta de Primera Categoría</t>
  </si>
  <si>
    <t>60 a) DR</t>
  </si>
  <si>
    <t>83 LIG</t>
  </si>
  <si>
    <t>Resultado NETO de Primera Categoría</t>
  </si>
  <si>
    <t>59 e) DR</t>
  </si>
  <si>
    <t>59 f) DR; 147 DR</t>
  </si>
  <si>
    <t>Nota 1</t>
  </si>
  <si>
    <t>Nota 2</t>
  </si>
  <si>
    <t>Nota 1: Alquiler de Bienes Muebles.</t>
  </si>
  <si>
    <r>
      <t xml:space="preserve">Son renta de Primera Categoría </t>
    </r>
    <r>
      <rPr>
        <u/>
        <sz val="11"/>
        <color theme="1"/>
        <rFont val="Calibri"/>
        <family val="2"/>
        <scheme val="minor"/>
      </rPr>
      <t>sólo</t>
    </r>
    <r>
      <rPr>
        <sz val="11"/>
        <color theme="1"/>
        <rFont val="Calibri"/>
        <family val="2"/>
        <scheme val="minor"/>
      </rPr>
      <t xml:space="preserve"> en la medida que se encuentren DIRECTAMENTE vinculados con la locación de un inmueble, como en este caso,</t>
    </r>
  </si>
  <si>
    <t>en el que se alquila la casa amoblada.</t>
  </si>
  <si>
    <t>Nota 2: Mejoras</t>
  </si>
  <si>
    <t>Para que se considere una mejora, la inversión debe representar un incremento en el valor locativo que beneficie directamente al propietario,</t>
  </si>
  <si>
    <t>y debe quedar en el inmueble una vez finalizado el plazo de locación.</t>
  </si>
  <si>
    <t>Las mejoras A CARGO DEL INQUILINO, no indemnizables, significan un aumento patrimonial y por ende una mayor ganancia para el propietario</t>
  </si>
  <si>
    <t>del inmueble, por lo tanto son consideradas rentas de Primera Categoría.</t>
  </si>
  <si>
    <t>El importe total de la mejora no se declara íntegramente en el 2013, sino que se distribuyen proporcionalmente en el plazo que resta del contrato</t>
  </si>
  <si>
    <t xml:space="preserve">de locación. En este caso: </t>
  </si>
  <si>
    <t>85 b) LIG</t>
  </si>
  <si>
    <t>59 b) DR</t>
  </si>
  <si>
    <t>x    Porcentaje a cargo del inquilino</t>
  </si>
  <si>
    <t xml:space="preserve">      Inversión Total en la Mejora</t>
  </si>
  <si>
    <t>=   Mejora a cargo del inquilino (no idemnizable)</t>
  </si>
  <si>
    <t>Plazo Total del contrato</t>
  </si>
  <si>
    <t>meses</t>
  </si>
  <si>
    <t>Inicio del Contrato</t>
  </si>
  <si>
    <t>Fin del Contrato</t>
  </si>
  <si>
    <t>Fecha de la Mejora</t>
  </si>
  <si>
    <t>Octubre, 2013</t>
  </si>
  <si>
    <t>Plazo que resta para la expiración del contrato</t>
  </si>
  <si>
    <t>La mejora se distribuirá proporcionalmente:</t>
  </si>
  <si>
    <t>Ejercicio 2013 (3 meses: Octubre, Noviembre, Diciembre)</t>
  </si>
  <si>
    <t>Ejercicio 2014 (12 meses)</t>
  </si>
  <si>
    <t xml:space="preserve">$30.000,00 / 18 = </t>
  </si>
  <si>
    <t>Ejercicio 2015 (3 meses)</t>
  </si>
  <si>
    <t>Nota 3</t>
  </si>
  <si>
    <t>60 b) DR</t>
  </si>
  <si>
    <t>Nota 4</t>
  </si>
  <si>
    <t>Nota 5</t>
  </si>
  <si>
    <t>Nota 3: Amortización del Inmueble</t>
  </si>
  <si>
    <t>Nota 4: Amortización Bienes Muebles</t>
  </si>
  <si>
    <t>Amortización = Valor de costo del bien / Años de VU</t>
  </si>
  <si>
    <t xml:space="preserve">Amortización = </t>
  </si>
  <si>
    <t>$100.000,00 / 10</t>
  </si>
  <si>
    <t>Valor costo amortizable = $800.000,00 x 85% =</t>
  </si>
  <si>
    <t>Trimestres a amortizar</t>
  </si>
  <si>
    <t>Amortización = (Valor costo amortizable / 200 T) * q T</t>
  </si>
  <si>
    <t xml:space="preserve">Recordar: La amortización se considera "gasto necesario" y es deducible desde el momento en el que el inmueble es afectado a la actividad </t>
  </si>
  <si>
    <t>147 DR</t>
  </si>
  <si>
    <t>Fecha de compra del inmueble</t>
  </si>
  <si>
    <t>Recordar: Las mejoras se amortizan sólo por los años de VU que le restan al inmueble al que fueron incorporadas.</t>
  </si>
  <si>
    <t>Valor de la Mejora a Amortizar</t>
  </si>
  <si>
    <t>Total de la VU del inmueble</t>
  </si>
  <si>
    <t>Trimestres</t>
  </si>
  <si>
    <t>Trimestres transcurridos hasta el inmediato anterior a la mejora</t>
  </si>
  <si>
    <t>VU de la mejora</t>
  </si>
  <si>
    <t>Amortización anual de la Mejora = ($50.000,00 / 157 T) x 4 T =</t>
  </si>
  <si>
    <t>Año</t>
  </si>
  <si>
    <t>Amortización para el año 2013 (año en el que se termina la mejora)</t>
  </si>
  <si>
    <t>($50.000,00 / 157) x 1 T =</t>
  </si>
  <si>
    <t>En el ejercicio 2013 solo se amortiza 1 trimestre, que es la cantidad de trimestres que restan para</t>
  </si>
  <si>
    <t>La mejora se amortiza por su valor total, ya que se trata solo de construcción. Además, no interesa si</t>
  </si>
  <si>
    <t>fueron pagadas por el propietario o por el inquilino.</t>
  </si>
  <si>
    <t>Dato</t>
  </si>
  <si>
    <t>Ejercicio 2012</t>
  </si>
  <si>
    <t>Ejercicio 2013</t>
  </si>
  <si>
    <t>59 d) DR</t>
  </si>
  <si>
    <t>60 d) DR</t>
  </si>
  <si>
    <t>Nota 1: Alquileres Incobrables 2012</t>
  </si>
  <si>
    <t>Monto mensual pactado por el alquiler</t>
  </si>
  <si>
    <t>Alquileres percibidos en 2011</t>
  </si>
  <si>
    <t>Enero Febrero y Marzo</t>
  </si>
  <si>
    <t>Finalización del Juicio de Cobro en pesos</t>
  </si>
  <si>
    <t>Finalización del Juicio de Desalojo</t>
  </si>
  <si>
    <t>(para que sean considerados incobrables, ambos juicios</t>
  </si>
  <si>
    <t>deben haber concluído)</t>
  </si>
  <si>
    <t xml:space="preserve">Alquileres Incobrables 2012  =  $1.500,00 x 8 meses* = </t>
  </si>
  <si>
    <t>desalojo inclusive, ya que con el juicio de desalojo se recupera la posesión del inmueble por lo cual se dejan de devengar los alquileres.</t>
  </si>
  <si>
    <t>Nota 2: Amortización del Inmueble</t>
  </si>
  <si>
    <t>VO del inmueble</t>
  </si>
  <si>
    <t>Según el justiprecio: Casa = 67% Construcción; 33% Terreno</t>
  </si>
  <si>
    <t>Valor amortizable del inmueble = $300.000,00 x 67% =</t>
  </si>
  <si>
    <t>Amortización del inmueble = ($201.000,00 / 200 T) x 4T =</t>
  </si>
  <si>
    <t>59 a) DR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</si>
  <si>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41, 83, 85 LIG; arts. 59, 60 DR</t>
    </r>
  </si>
  <si>
    <t xml:space="preserve">Cátedra de  Legislación y Técnica Fiscal I (UNC). "CAPITULO V: Ganancias de la Primera Categoría: Rentas del Suelo."  Impuesto a las Ganancias. </t>
  </si>
  <si>
    <t xml:space="preserve">5ta Edición. ed. Facultad de Ciencias  Económicas. UNC., 2010. pp. 219-248. </t>
  </si>
  <si>
    <t>DEDUCCIONES GENERALES</t>
  </si>
  <si>
    <t>81 b) LIG; 122 DR</t>
  </si>
  <si>
    <t>Nota 6</t>
  </si>
  <si>
    <t>El Seguro de Vida es una Deducción General con tope Fijo. Por RG 3984 DGI este importe fue fijado en $996,23 (Art. 81 b) LIG).</t>
  </si>
  <si>
    <t>Monto real abonado</t>
  </si>
  <si>
    <t xml:space="preserve"> - Tope deducible</t>
  </si>
  <si>
    <t>Excedente No Deducible</t>
  </si>
  <si>
    <t xml:space="preserve">Nota 6: Seguro de Vida. </t>
  </si>
  <si>
    <t>Nota 5: Amortización de la Mejora</t>
  </si>
  <si>
    <t>DEDUCCIONES PERSONALES</t>
  </si>
  <si>
    <t>23 a) LIG</t>
  </si>
  <si>
    <t>23 b) 3. LIG</t>
  </si>
  <si>
    <t>Impuesto Determinado</t>
  </si>
  <si>
    <t>Nota 7</t>
  </si>
  <si>
    <t>90 LIG</t>
  </si>
  <si>
    <t>Nota 7: Impuesto Determinado.</t>
  </si>
  <si>
    <t>Base Imponible</t>
  </si>
  <si>
    <t>De acuerdo a la escala del artículo 90 de la LIG, le corresponderá abonar:</t>
  </si>
  <si>
    <t>Monto Fijo</t>
  </si>
  <si>
    <t>más</t>
  </si>
  <si>
    <t>Alícuota del</t>
  </si>
  <si>
    <t xml:space="preserve">Total del Impuesto a Ingresar en 2013 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</si>
  <si>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23, 41, 81, 83, 85, 90 LIG; arts. 59, 60, 122, 147  DR</t>
    </r>
  </si>
  <si>
    <t>SEGUNDA CATEGORÍA</t>
  </si>
  <si>
    <t>23 b) 2. LIG</t>
  </si>
  <si>
    <t>23 b) 1. LIG</t>
  </si>
  <si>
    <t>81 a) LIG</t>
  </si>
  <si>
    <t>1.A.</t>
  </si>
  <si>
    <t>48 LIG</t>
  </si>
  <si>
    <t>Nota 1: Inmueble A</t>
  </si>
  <si>
    <t>Precio a plazo</t>
  </si>
  <si>
    <t>Tasa de interés pactada (Real)</t>
  </si>
  <si>
    <t>Tasa de interés BNA para dtos comerciales</t>
  </si>
  <si>
    <t>mensual</t>
  </si>
  <si>
    <t>anual</t>
  </si>
  <si>
    <r>
      <t xml:space="preserve">Justificación: En el caso de las operaciones a plazo de inmuebles, cuando la tasa de intereses pactada resulta </t>
    </r>
    <r>
      <rPr>
        <u/>
        <sz val="11"/>
        <color theme="1"/>
        <rFont val="Calibri"/>
        <family val="2"/>
        <scheme val="minor"/>
      </rPr>
      <t>inferior</t>
    </r>
    <r>
      <rPr>
        <sz val="11"/>
        <color theme="1"/>
        <rFont val="Calibri"/>
        <family val="2"/>
        <scheme val="minor"/>
      </rPr>
      <t xml:space="preserve"> a la fijada por el BNA para</t>
    </r>
  </si>
  <si>
    <t>descuentos comerciales, se aplica la presunción legal y el contribuyente deberá declarar una renta equivalente al devengamiento que dicta la</t>
  </si>
  <si>
    <t>tasa de interes del BNA. Esta presunción, en estos casos, es ABSOLUTA, es decir que no admite prueba en contrario.</t>
  </si>
  <si>
    <t>Nota 2: Inmueble B</t>
  </si>
  <si>
    <t>1.B.</t>
  </si>
  <si>
    <t>Numero de cuotas</t>
  </si>
  <si>
    <t>Valor de la cuota</t>
  </si>
  <si>
    <t>Fecha de la venta</t>
  </si>
  <si>
    <t>Período 2013</t>
  </si>
  <si>
    <t>Cantidad de Cuotas</t>
  </si>
  <si>
    <t>Importe de la Cuota</t>
  </si>
  <si>
    <t>Saldo Adeudado a fin de mes</t>
  </si>
  <si>
    <t>Interes Presunto</t>
  </si>
  <si>
    <t>Octubre</t>
  </si>
  <si>
    <t>Noviembre</t>
  </si>
  <si>
    <t>Diciembre</t>
  </si>
  <si>
    <t>Total 2013</t>
  </si>
  <si>
    <t>Período 2014</t>
  </si>
  <si>
    <t>Enero</t>
  </si>
  <si>
    <t>Febrero</t>
  </si>
  <si>
    <t>Total 2014</t>
  </si>
  <si>
    <t>Precio a Plazo ($35.000,00 x 4)</t>
  </si>
  <si>
    <t xml:space="preserve">1RO) CALCULO EL PRECIO DE CONTADO = </t>
  </si>
  <si>
    <t>PRECIO A PLAZO</t>
  </si>
  <si>
    <t>(1+ i)</t>
  </si>
  <si>
    <t>[1+ (2% x 4)]</t>
  </si>
  <si>
    <t>3RO) CALCULO EL INTERÉS PRESUNTO CONTENIDO EN CADA CUOTA = INTERESES PRESUNTOS TOTALES / 4 =</t>
  </si>
  <si>
    <t xml:space="preserve">Justificación: En el caso de las operaciones a plazo de inmuebles, cuando no se determina expresamente el tipo de interes, se aplica la presunción </t>
  </si>
  <si>
    <t xml:space="preserve">absoluta, y el contribuyente deberá declarar una renta equivalente a la que dicta el BNA para operaciones de descuentos comerciales. Según la </t>
  </si>
  <si>
    <t>jurisprudencia, se presume que los intereses se encuentran integrados en cada cuota.</t>
  </si>
  <si>
    <t xml:space="preserve">Con respecto al período de imputación de los intereses presuntos, cuando la operación abarca más de un año tributario, se entiende que al estar </t>
  </si>
  <si>
    <t>integrado el interés en cada cuota, los mismos se generarán en el momento en el que se perciba cada cuota.</t>
  </si>
  <si>
    <r>
      <t xml:space="preserve">2DO) CALCULO EL INTERÉS GRAVADO COMO RENTA DE 2DA CAT = </t>
    </r>
    <r>
      <rPr>
        <b/>
        <sz val="11"/>
        <color theme="1"/>
        <rFont val="Calibri"/>
        <family val="2"/>
        <scheme val="minor"/>
      </rPr>
      <t xml:space="preserve">PRECIO DE CONTADO x i </t>
    </r>
    <r>
      <rPr>
        <sz val="11"/>
        <color theme="1"/>
        <rFont val="Calibri"/>
        <family val="2"/>
        <scheme val="minor"/>
      </rPr>
      <t>=</t>
    </r>
  </si>
  <si>
    <t>2.A.</t>
  </si>
  <si>
    <t>2.B.</t>
  </si>
  <si>
    <t>Nota 3: Bienes Muebles</t>
  </si>
  <si>
    <t>Cuotas</t>
  </si>
  <si>
    <t>Valor de la Cuota</t>
  </si>
  <si>
    <t xml:space="preserve">A. Ropero. </t>
  </si>
  <si>
    <t>55.000 x 4</t>
  </si>
  <si>
    <t>203.703,70 x (2% x 4) =</t>
  </si>
  <si>
    <t xml:space="preserve">B. Juego de Sillones. 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</si>
  <si>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23, 48, 81, 90 LIG</t>
    </r>
  </si>
  <si>
    <t>Justificación: En el caso de préstamo o venta de bienes muebles a plazo, se aplicará la tasa de interes REAL cuando se determine exprésamente</t>
  </si>
  <si>
    <t xml:space="preserve">el tipo de interés (como en el primer caso), y se aplicara la presunción y por lo tanto la tasa de interes del BNA para operaciones de descuentos </t>
  </si>
  <si>
    <t>comerciales, cuando no se determine expresamente el tipo de interés.</t>
  </si>
  <si>
    <t xml:space="preserve">Cátedra de  Legislación y Técnica Fiscal I (UNC). "CAPITULO VI: Ganancias de Segunda Categoría: Renta de Capitales."  Impuesto a las Ganancias. </t>
  </si>
  <si>
    <t xml:space="preserve">5ta Edición. ed. Facultad de Ciencias  Económicas. UNC., 2010. pp. 249-287. </t>
  </si>
  <si>
    <t>Director</t>
  </si>
  <si>
    <t>Honorario</t>
  </si>
  <si>
    <t>Asignado</t>
  </si>
  <si>
    <t>(a)</t>
  </si>
  <si>
    <t>%</t>
  </si>
  <si>
    <t>para el Director</t>
  </si>
  <si>
    <t>(b)</t>
  </si>
  <si>
    <t>(c = a - b)</t>
  </si>
  <si>
    <t>Honorarios</t>
  </si>
  <si>
    <t>Computables</t>
  </si>
  <si>
    <t>(d)</t>
  </si>
  <si>
    <t>(e = c - d)</t>
  </si>
  <si>
    <t>Total H</t>
  </si>
  <si>
    <t xml:space="preserve">Computables </t>
  </si>
  <si>
    <t>(b + e)</t>
  </si>
  <si>
    <t>Excedente NO Deducible</t>
  </si>
  <si>
    <t>para la SA</t>
  </si>
  <si>
    <t>Honorarios NO</t>
  </si>
  <si>
    <t>Ganancia Neta</t>
  </si>
  <si>
    <t>Tope Max de H Deducibles</t>
  </si>
  <si>
    <t xml:space="preserve">Renta de 4ta </t>
  </si>
  <si>
    <t>Categoría</t>
  </si>
  <si>
    <t>Para determinar el importe gravado como Renta de Cuarta Categoría en cabeza de cada Director, se deben seguir los siguientes pasos:</t>
  </si>
  <si>
    <t xml:space="preserve">1. TOPE I: </t>
  </si>
  <si>
    <t>Importe</t>
  </si>
  <si>
    <t>Tope</t>
  </si>
  <si>
    <t>Rosario Molina</t>
  </si>
  <si>
    <t>Lucas Martínez</t>
  </si>
  <si>
    <t>Juan Kim</t>
  </si>
  <si>
    <t>TOPE I</t>
  </si>
  <si>
    <t xml:space="preserve">2. TOPE II: </t>
  </si>
  <si>
    <t>H =</t>
  </si>
  <si>
    <t>0,25 x UC - 0,0875 x UI</t>
  </si>
  <si>
    <t>Utilidad Contable antes del IG</t>
  </si>
  <si>
    <t xml:space="preserve">UI = </t>
  </si>
  <si>
    <t>UC =</t>
  </si>
  <si>
    <t>Honorario Sindico</t>
  </si>
  <si>
    <t>Utilidad Contable Neta antes de H y IG</t>
  </si>
  <si>
    <t>+ Gastos no deducibles</t>
  </si>
  <si>
    <t>- Ganancias no alcanzadas</t>
  </si>
  <si>
    <t>+/- Otros ajustes impositivos</t>
  </si>
  <si>
    <t>Utilidad Impositiva antes de H</t>
  </si>
  <si>
    <t xml:space="preserve">H = </t>
  </si>
  <si>
    <t>TOPE II</t>
  </si>
  <si>
    <t>1RO) DETERMINAR EL IMPORTE MAXIMO DEDUCIBLE EN CONCEPTO DE HONORARIOS A DIRECTORES Y SÍNDICOS PARA LA S.A.</t>
  </si>
  <si>
    <t>según lo dispuesto en el artículo 79 f) de la LIG.</t>
  </si>
  <si>
    <t>2DO) Determinar si los Honorarios NO Deducibles para la sociedad serán o no COMPUTABLES en cabeza de los Directores.</t>
  </si>
  <si>
    <t>1. Que el balance impositivo de la sociedad en el ejercicio en el cual se asignan arroje impuesto determinado;</t>
  </si>
  <si>
    <t>2. Que dicho impuesto determinado sea MAYOR o IGUAL al 35% del excedente del honorario no deducible.</t>
  </si>
  <si>
    <t>Utilidad Neta</t>
  </si>
  <si>
    <t>Impuesto Determinado (35%)</t>
  </si>
  <si>
    <t xml:space="preserve">Las condiciones del artículo 142.1 del DR para que el honorario pueda ser considerado como NO Computable son: </t>
  </si>
  <si>
    <r>
      <t xml:space="preserve">para la SA y </t>
    </r>
    <r>
      <rPr>
        <b/>
        <u/>
        <sz val="11"/>
        <color theme="1"/>
        <rFont val="Calibri"/>
        <family val="2"/>
        <scheme val="minor"/>
      </rPr>
      <t>computables</t>
    </r>
  </si>
  <si>
    <t>Honorarios DEDUCIBLES</t>
  </si>
  <si>
    <t xml:space="preserve">Impuesto </t>
  </si>
  <si>
    <t>Determinado</t>
  </si>
  <si>
    <t>&lt;</t>
  </si>
  <si>
    <t xml:space="preserve">35% del </t>
  </si>
  <si>
    <t>Excedente</t>
  </si>
  <si>
    <t>No Deducible</t>
  </si>
  <si>
    <t>En este caso, hay ganancias gravadas adicionales Computables en cabeza de los Directores.</t>
  </si>
  <si>
    <t>&lt; / &gt;</t>
  </si>
  <si>
    <t>Molina</t>
  </si>
  <si>
    <t>Martinez</t>
  </si>
  <si>
    <t>Kim</t>
  </si>
  <si>
    <t xml:space="preserve">Cátedra de  Legislación y Técnica Fiscal I (UNC). "CAPITULO XI: Ganancias de la Cuarta Categoría: Renta del Trabajo Personal."  Impuesto a las Ganancias. </t>
  </si>
  <si>
    <t xml:space="preserve">5ta Edición. ed. Facultad de Ciencias  Económicas. UNC., 2010. pp. 437-472. </t>
  </si>
  <si>
    <t>RENTAS GRAVADAS</t>
  </si>
  <si>
    <t>CUARTA CATEGORÍA</t>
  </si>
  <si>
    <t>79 f) LIG</t>
  </si>
  <si>
    <t>Ganancia Bruta de Cuarta Categoría</t>
  </si>
  <si>
    <t>84 y 88 l) LIG</t>
  </si>
  <si>
    <t>88 LIG; RG 94 AFIP</t>
  </si>
  <si>
    <t>Resultado NETO de Cuarta Categoría</t>
  </si>
  <si>
    <t>85 a) LIG</t>
  </si>
  <si>
    <t>45 b) LIG</t>
  </si>
  <si>
    <t>16 L. 26.063; RG 2055 AFIP</t>
  </si>
  <si>
    <t>81 a) LIG 3er Parrafo</t>
  </si>
  <si>
    <t>23 b) LIG</t>
  </si>
  <si>
    <t>23 c) LIG; 47 DR</t>
  </si>
  <si>
    <t xml:space="preserve">Amortización TOPE (84, 88 l) LIG) considera como </t>
  </si>
  <si>
    <t>=</t>
  </si>
  <si>
    <t>VO máximo del auto $20.000,00</t>
  </si>
  <si>
    <t xml:space="preserve">Amortización Real </t>
  </si>
  <si>
    <t>Excedente no deducible de la amortización</t>
  </si>
  <si>
    <t xml:space="preserve">Gastos TOPE (RG 94 AFIP) </t>
  </si>
  <si>
    <t>- Gastos reales de mantenimiento del automóvil</t>
  </si>
  <si>
    <t>Excedente no deducible</t>
  </si>
  <si>
    <t>x   50%</t>
  </si>
  <si>
    <t>x 50%</t>
  </si>
  <si>
    <t>79 b) LIG</t>
  </si>
  <si>
    <t>Según el justiprecio: Propiedad Horizontal = 80% Construcción; 20% Terreno</t>
  </si>
  <si>
    <t>Amortización del inmueble = ($120.000,00 / 200 T) x 4T =</t>
  </si>
  <si>
    <t>Valor amortizable del inmueble = $150.000,00 x 80% =</t>
  </si>
  <si>
    <t>114 DR; 115 DR; 58 a) LIG</t>
  </si>
  <si>
    <t>Nota 1: Rentas Indirectas.</t>
  </si>
  <si>
    <t>Cuando el contribuyente obtiene un bien como parte de pago, y luego lo vende dentro de los 2 años y recibe una renta por ello, esa ganancia debe</t>
  </si>
  <si>
    <t>tributar. Si dicho bien es un bien MUEBLE AMORTIZABLE, la ganancia bruta se determinará de la siguiente manera</t>
  </si>
  <si>
    <t>Precio de Venta</t>
  </si>
  <si>
    <t>- Costo Computable = (VO - Amortizaciones Acumuladas) = $10.000 - (10.000/10) =</t>
  </si>
  <si>
    <t>Nota 2: Amortización Automóvil. Deducción de 4ta Categoría con tope.</t>
  </si>
  <si>
    <t>Nota 3: Gastos de Mantenimiento del Automóvil.</t>
  </si>
  <si>
    <t>Nota 4: Amortización del Inmueble</t>
  </si>
  <si>
    <t>82 f), 84 LIG</t>
  </si>
  <si>
    <t>El concepto abonado por Servicio Doméstico es una Deducción General con tope Fijo. El artículo 16 de la L. 26063 establece que se podrán deducir de la</t>
  </si>
  <si>
    <t>ganancia bruta gravada de fuente argentina hasta un importe máximo equivalente al mínimo no imponible.</t>
  </si>
  <si>
    <t xml:space="preserve">Nota 6: Servicio Doméstico. </t>
  </si>
  <si>
    <t xml:space="preserve">Nota 5: Seguro de Vida. </t>
  </si>
  <si>
    <t>Le corresponde la deducción especial ya que cumple con los requisitos del artículo 47 del DR, y porque posee renta de Cuarta Categoría.</t>
  </si>
  <si>
    <t>Nota 7: Deducción Especial.</t>
  </si>
  <si>
    <t xml:space="preserve">La renta de Cuarta Categoría b) es de $420.000,00, por lo que se toma el tope de $74.649,60 </t>
  </si>
  <si>
    <t>Nota 8: Impuesto Determinado.</t>
  </si>
  <si>
    <t>Nota 8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</si>
  <si>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23, 41, 45, 58, 60, 79, 81, 82, 83, 85, 84, 88, 90 LIG; Arts. 47, 114, 115, 122 DR; RG 94 AFIP; Art. 16 L. 26.063; RG 2055 AFIP</t>
    </r>
  </si>
  <si>
    <t>Fuente:</t>
  </si>
  <si>
    <t>= ($680.000,00 / 200) * 4 =</t>
  </si>
  <si>
    <t>Sobre el Excedente ($162.703,30 - $120.000,00)</t>
  </si>
  <si>
    <t xml:space="preserve">*8 meses: de Abril 2011 a Noviembre de 2011. Es decir, los meses en los que no se percibieron en el 2011 hasta el mes del juicio de </t>
  </si>
  <si>
    <t>Tasa de interés del BNA para op de dto comercial</t>
  </si>
  <si>
    <t>88 e) LIG</t>
  </si>
  <si>
    <t>88 b) LIG</t>
  </si>
  <si>
    <t>Honorarios Directores (H)</t>
  </si>
  <si>
    <t>80 LIG</t>
  </si>
  <si>
    <t>Precio de Contado</t>
  </si>
  <si>
    <t>Cuota</t>
  </si>
  <si>
    <t>Capital</t>
  </si>
  <si>
    <t>Interes</t>
  </si>
  <si>
    <t>PagoPrin</t>
  </si>
  <si>
    <t>PagoInt</t>
  </si>
  <si>
    <t>Fecha de Habilitación de la Mejora</t>
  </si>
  <si>
    <t>terminar el período anual, una vez habilitada la mejora.</t>
  </si>
  <si>
    <t>Vencimiento de las cuotas</t>
  </si>
  <si>
    <t xml:space="preserve">2DO) CALCULO EL INTERÉS GRAVADO COMO RENTA DE 2DA CAT </t>
  </si>
  <si>
    <t>Monto de bien a financiar</t>
  </si>
  <si>
    <t>Valor de la Cuota (pago)</t>
  </si>
  <si>
    <t>Cuotas (nper)</t>
  </si>
  <si>
    <t>TEM (tasa)</t>
  </si>
  <si>
    <t>Función Excel:</t>
  </si>
  <si>
    <t>Valor Actual. Función Excel: VA(tasa;nper;-pago)</t>
  </si>
  <si>
    <t>Sobre el Excedente ($9.613,16 - $0,00)</t>
  </si>
  <si>
    <t>Sobre el Excedente ($350.560,17 - $120.000,00)</t>
  </si>
  <si>
    <t>Conceptos No Deducibles</t>
  </si>
  <si>
    <t>35% x $287.212,33</t>
  </si>
  <si>
    <t>0,25 x 800.000 - 0,0875 x 270.000</t>
  </si>
  <si>
    <t>independientemente de que dichos honorarios hayan sido percibidos o no.</t>
  </si>
  <si>
    <t>Según lo dispuesto por el artículo 18 en el inciso b) de la LIG y el art 26 del DR, estos deben computarse en el año fiscal en que la asamblea de accionistas</t>
  </si>
  <si>
    <t xml:space="preserve"> apruebe su asignación individual. Este es uno de los casos especiales de imputación de renta, ya que generalmente las rentas de 4° Categoría se imputan por </t>
  </si>
  <si>
    <t xml:space="preserve">el método de lo percibido. En este caso, los directores deberán declarar los honorarios asignados como ganancia de 4° Categoría en su DDJJ del año 2013, </t>
  </si>
  <si>
    <t xml:space="preserve">Para ello, se deben calcular dos TOPES, y de esos elegir el MAYOR (87 j) de la LIG; 142 DR). </t>
  </si>
  <si>
    <t>tuvo lugar antes del vencimiento de la DDJJ de la empresa (Cierre de ej: 28/02/2013; DDJJ: 15/07/2013) - Artículo 87 j) LIG -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</si>
  <si>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18, 79, 87, 46 LIG; Arts. 26, 134, 142, 142.1 DR</t>
    </r>
  </si>
  <si>
    <t>Es importante diferenciar el tema de la asignación de los honorarios desde la postira de la EMPRESA y del DIRECTOR.</t>
  </si>
  <si>
    <t>Para la EMPRESA, los honorarios representan una DEDUCCIÓN, y se podrá computar en el ejercicio 2013 ya que la asignación individual (15/03/2013)</t>
  </si>
  <si>
    <t>El tope máximo de HONORARIOS DEDUCIBLES PARA LA S.A. es de $193.287,67  (mayor). Éstos constituyen ingresos de Cuarta Categoría para sus perceptores</t>
  </si>
  <si>
    <r>
      <t xml:space="preserve">Excedente No Deducible = </t>
    </r>
    <r>
      <rPr>
        <sz val="11"/>
        <color theme="1"/>
        <rFont val="Symbol"/>
        <family val="1"/>
        <charset val="2"/>
      </rPr>
      <t>å</t>
    </r>
    <r>
      <rPr>
        <sz val="11"/>
        <color theme="1"/>
        <rFont val="Calibri"/>
        <family val="2"/>
      </rPr>
      <t xml:space="preserve"> Honorario de Directores - H = $480.500,00 -  $193.287,67=</t>
    </r>
  </si>
  <si>
    <t xml:space="preserve">Impuesto Determinado Ej 2013 </t>
  </si>
  <si>
    <t>Tasa de interés pactada mensual</t>
  </si>
  <si>
    <t>Marzo y Abril</t>
  </si>
  <si>
    <t xml:space="preserve">1RO) CALCULO EL PRECIO DE CONTADO. </t>
  </si>
  <si>
    <t>Ganancia por intereses PRESUNTOS =[$220.000/(1 + 15%)] x 24% =</t>
  </si>
  <si>
    <t>Nota 4: Impuesto Determinado.</t>
  </si>
  <si>
    <t>Fuentes:</t>
  </si>
  <si>
    <t>- Matrícula profesional ($250,00 x 12)</t>
  </si>
  <si>
    <t>- Amortización Automóvil</t>
  </si>
  <si>
    <t>- Gastos de Mantenimiento del Automóvil</t>
  </si>
  <si>
    <t>- Impuestos a cargo del inquilino</t>
  </si>
  <si>
    <t>- Gastos de Mantenimiento Reales</t>
  </si>
  <si>
    <t xml:space="preserve">- Amortización del Inmueble </t>
  </si>
  <si>
    <t>- Amortización Bienes Muebles ($100.000,00 / 10)</t>
  </si>
  <si>
    <t>- Seguro de Vida</t>
  </si>
  <si>
    <t>- Servicio Doméstico</t>
  </si>
  <si>
    <t>- Intereses de Crédito Hipotecario</t>
  </si>
  <si>
    <t>- Ganancia No Imponible</t>
  </si>
  <si>
    <t>- Cargas de Familia. Hija.</t>
  </si>
  <si>
    <t xml:space="preserve">- Deducción Especial </t>
  </si>
  <si>
    <t>= Ganancia Neta Sujeta a Impuesto</t>
  </si>
  <si>
    <t>= Ganancia NETA del Período</t>
  </si>
  <si>
    <t>= SUBTOTAL DE CATEGORÍAS</t>
  </si>
  <si>
    <t>= Resultado NETO de Segunda Categoría</t>
  </si>
  <si>
    <t>= Ganancia Bruta de Segunda Categoría</t>
  </si>
  <si>
    <t>- Retenciones</t>
  </si>
  <si>
    <t>= Impuesto a Ingresar</t>
  </si>
  <si>
    <t>+ Remuneración (relación de dependencia)</t>
  </si>
  <si>
    <t>+ Honorarios Profesionales</t>
  </si>
  <si>
    <t>+ Rentas indirectas</t>
  </si>
  <si>
    <t>+ Alquileres devengados ($2.600,00 x 12)</t>
  </si>
  <si>
    <t>+ Impuestos a cargo del inquilino</t>
  </si>
  <si>
    <t>+ Alquiler Bienes Muebles</t>
  </si>
  <si>
    <t>+ Alquiler Inmueble ($15.000,00 - $1.000,00) x 8)</t>
  </si>
  <si>
    <t>+ Alquiler Bienes Muebles ($1.000,00 x 8)</t>
  </si>
  <si>
    <t>+ Mejora a cargo del inquilino</t>
  </si>
  <si>
    <t>+ Alquiler Presunto Casa de Veraneo</t>
  </si>
  <si>
    <t>= Ganancia Bruta de Primera Categoría</t>
  </si>
  <si>
    <t>- Impuesto a cargo del inquilino</t>
  </si>
  <si>
    <t>- Gastos de Mantenimiento Presuntos (5% x 227.000,00)</t>
  </si>
  <si>
    <t>- Amortización Bienes Muebles</t>
  </si>
  <si>
    <t>- Amortización de la Mejora</t>
  </si>
  <si>
    <t>= Resultado NETO de Primera Categoría</t>
  </si>
  <si>
    <t>- Cargas de Familia. Madre.</t>
  </si>
  <si>
    <r>
      <t xml:space="preserve">gravada (locación). En este caso, el dueño del inmueble lo tiene destinado a alquiler, por lo tanto tiene derecho a la amortización </t>
    </r>
    <r>
      <rPr>
        <b/>
        <sz val="11"/>
        <color theme="1"/>
        <rFont val="Calibri"/>
        <family val="2"/>
        <scheme val="minor"/>
      </rPr>
      <t>anual (4T).</t>
    </r>
  </si>
  <si>
    <t>+ Alquiler Inmueble ($2.000,00 x 12)</t>
  </si>
  <si>
    <t>+ Seguro por incendio a cargo del inquilino</t>
  </si>
  <si>
    <t>+ Alquileres Incobrables 2012</t>
  </si>
  <si>
    <t>+ Recupero de Alquileres Considerados Incobrables</t>
  </si>
  <si>
    <t>- Gastos de Mantenimiento Reales (Pintura)</t>
  </si>
  <si>
    <t>- Seguro por incendio a cargo del inquilino</t>
  </si>
  <si>
    <t>= Ganancia BRUTA de Primera Categoría</t>
  </si>
  <si>
    <t>+ Ganancia por intereses PRESUNTOS Inmueble A</t>
  </si>
  <si>
    <t>+ Ganancia por intereses PRESUNTOS Inmueble B</t>
  </si>
  <si>
    <t>+ Ganancia por intereses REALES Ropero</t>
  </si>
  <si>
    <t>+ Ganancia por intereses PRESUNTOS Sillones</t>
  </si>
  <si>
    <t>= Ganancia BRUTA de Segunda Categoría</t>
  </si>
  <si>
    <t>- Interés de Crédito Hipotecario</t>
  </si>
  <si>
    <t>- Cargas de Familia. Cónyuge.</t>
  </si>
  <si>
    <t>- Cargas de Familia. Hijo.</t>
  </si>
  <si>
    <t>= Ganancia Sujeta a Impuesto</t>
  </si>
  <si>
    <t>La sociedad puede deducir los importes destinado al pago de honorarios percibidos como consecuencia del ejercicio de sus funciones directivas de:</t>
  </si>
  <si>
    <t>Dicho importe deducible para la sociedad, constituye RENTA DE 4ta CATEGORÍA para sus beneficiarios. El Excedente No Deducible (si los honorarios superan</t>
  </si>
  <si>
    <t>el tope deducible por la sociedad) serán NO COMPUTABLES para el beneficiario, en la medida que el excedente de honorarios sea mayor a la base imponible</t>
  </si>
  <si>
    <t xml:space="preserve">del impuesto. En caso contrario, la diferencia entre la base imponible y el excedente no deducible por la sociedad, tributará como renta de 4ta categoría en </t>
  </si>
  <si>
    <t xml:space="preserve">Es la utilidad Contable, antes del IG y antes de la deducción de </t>
  </si>
  <si>
    <t>los honorarios de Directores y Síndicos.</t>
  </si>
  <si>
    <t>La UI e calcula de la siguiente manera:</t>
  </si>
  <si>
    <t xml:space="preserve">Cátedra de  Legislación y Técnica Fiscal I (UNC). "CAPITULO VII: Ganancias de la Tercera Categoría: Determinación de las Ganancias."  Impuesto a las </t>
  </si>
  <si>
    <t xml:space="preserve">Ganancias. 5ta Edición. ed. Facultad de Ciencias  Económicas. UNC., 2010. pp. 291-325. </t>
  </si>
  <si>
    <r>
      <t xml:space="preserve">Directores (Soc. de Capital), y de los Socios Administradores (SRL, SCS, SCA); hasta un </t>
    </r>
    <r>
      <rPr>
        <b/>
        <sz val="11"/>
        <color theme="1"/>
        <rFont val="Calibri"/>
        <family val="2"/>
        <scheme val="minor"/>
      </rPr>
      <t>tope</t>
    </r>
    <r>
      <rPr>
        <sz val="11"/>
        <color theme="1"/>
        <rFont val="Calibri"/>
        <family val="2"/>
        <scheme val="minor"/>
      </rPr>
      <t xml:space="preserve"> (fijo o variable, el que resulte MAYOR).</t>
    </r>
  </si>
  <si>
    <t>cabeza de los socios, en la proporción que corresponda. Los honorarios de los Síndicos y miembros del CV son INTEGRAMENTE deducibles por la sociedad.</t>
  </si>
</sst>
</file>

<file path=xl/styles.xml><?xml version="1.0" encoding="utf-8"?>
<styleSheet xmlns="http://schemas.openxmlformats.org/spreadsheetml/2006/main">
  <numFmts count="6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#,##0.0000"/>
    <numFmt numFmtId="166" formatCode="_ [$$-2C0A]\ * #,##0.00_ ;_ [$$-2C0A]\ * \-#,##0.00_ ;_ [$$-2C0A]\ * &quot;-&quot;??_ ;_ @_ 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4" fontId="1" fillId="0" borderId="7" xfId="0" applyNumberFormat="1" applyFont="1" applyBorder="1"/>
    <xf numFmtId="0" fontId="1" fillId="0" borderId="8" xfId="1" applyNumberFormat="1" applyFont="1" applyBorder="1" applyAlignment="1">
      <alignment horizontal="center" vertical="center"/>
    </xf>
    <xf numFmtId="4" fontId="1" fillId="0" borderId="8" xfId="0" applyNumberFormat="1" applyFont="1" applyBorder="1"/>
    <xf numFmtId="44" fontId="1" fillId="0" borderId="9" xfId="2" applyFont="1" applyBorder="1"/>
    <xf numFmtId="4" fontId="0" fillId="0" borderId="10" xfId="0" applyNumberFormat="1" applyBorder="1"/>
    <xf numFmtId="4" fontId="0" fillId="0" borderId="10" xfId="0" applyNumberFormat="1" applyBorder="1" applyAlignment="1">
      <alignment horizontal="center" vertical="center"/>
    </xf>
    <xf numFmtId="44" fontId="0" fillId="0" borderId="10" xfId="2" applyFont="1" applyBorder="1"/>
    <xf numFmtId="44" fontId="1" fillId="0" borderId="0" xfId="2" applyFont="1" applyBorder="1"/>
    <xf numFmtId="4" fontId="0" fillId="0" borderId="0" xfId="0" applyNumberFormat="1" applyBorder="1"/>
    <xf numFmtId="4" fontId="0" fillId="0" borderId="0" xfId="0" applyNumberFormat="1" applyFill="1" applyBorder="1" applyAlignment="1"/>
    <xf numFmtId="4" fontId="0" fillId="0" borderId="0" xfId="0" quotePrefix="1" applyNumberFormat="1"/>
    <xf numFmtId="44" fontId="0" fillId="0" borderId="0" xfId="2" applyFont="1"/>
    <xf numFmtId="4" fontId="0" fillId="0" borderId="11" xfId="0" applyNumberFormat="1" applyBorder="1"/>
    <xf numFmtId="9" fontId="0" fillId="0" borderId="11" xfId="3" applyFont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1" applyNumberFormat="1" applyFont="1" applyAlignment="1">
      <alignment horizontal="left"/>
    </xf>
    <xf numFmtId="4" fontId="0" fillId="0" borderId="0" xfId="0" applyNumberFormat="1" applyAlignment="1">
      <alignment horizontal="right"/>
    </xf>
    <xf numFmtId="44" fontId="0" fillId="0" borderId="11" xfId="2" applyFont="1" applyBorder="1"/>
    <xf numFmtId="44" fontId="1" fillId="0" borderId="0" xfId="2" applyFont="1"/>
    <xf numFmtId="4" fontId="1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quotePrefix="1" applyNumberFormat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2" borderId="7" xfId="0" applyNumberFormat="1" applyFill="1" applyBorder="1" applyAlignment="1"/>
    <xf numFmtId="4" fontId="0" fillId="2" borderId="8" xfId="0" applyNumberFormat="1" applyFill="1" applyBorder="1" applyAlignment="1"/>
    <xf numFmtId="4" fontId="0" fillId="2" borderId="9" xfId="0" applyNumberFormat="1" applyFill="1" applyBorder="1" applyAlignment="1"/>
    <xf numFmtId="3" fontId="0" fillId="0" borderId="11" xfId="0" applyNumberFormat="1" applyBorder="1"/>
    <xf numFmtId="0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44" fontId="5" fillId="0" borderId="0" xfId="2" applyFont="1"/>
    <xf numFmtId="0" fontId="0" fillId="0" borderId="0" xfId="0" applyNumberFormat="1" applyBorder="1" applyAlignment="1">
      <alignment horizontal="center"/>
    </xf>
    <xf numFmtId="4" fontId="1" fillId="0" borderId="0" xfId="0" applyNumberFormat="1" applyFont="1" applyBorder="1"/>
    <xf numFmtId="44" fontId="0" fillId="0" borderId="0" xfId="2" applyFont="1" applyBorder="1"/>
    <xf numFmtId="4" fontId="3" fillId="0" borderId="0" xfId="0" applyNumberFormat="1" applyFont="1"/>
    <xf numFmtId="4" fontId="1" fillId="0" borderId="8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0" fillId="0" borderId="1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4" fontId="0" fillId="0" borderId="8" xfId="0" applyNumberFormat="1" applyBorder="1"/>
    <xf numFmtId="17" fontId="0" fillId="0" borderId="0" xfId="0" applyNumberFormat="1"/>
    <xf numFmtId="0" fontId="1" fillId="0" borderId="8" xfId="0" applyNumberFormat="1" applyFont="1" applyBorder="1" applyAlignment="1">
      <alignment horizontal="center"/>
    </xf>
    <xf numFmtId="4" fontId="0" fillId="0" borderId="16" xfId="0" applyNumberFormat="1" applyBorder="1"/>
    <xf numFmtId="0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4" fontId="0" fillId="0" borderId="16" xfId="2" applyFont="1" applyBorder="1"/>
    <xf numFmtId="44" fontId="1" fillId="0" borderId="0" xfId="2" applyFont="1" applyFill="1" applyBorder="1"/>
    <xf numFmtId="4" fontId="0" fillId="0" borderId="11" xfId="0" quotePrefix="1" applyNumberFormat="1" applyFont="1" applyBorder="1"/>
    <xf numFmtId="4" fontId="0" fillId="0" borderId="11" xfId="0" applyNumberFormat="1" applyFont="1" applyBorder="1"/>
    <xf numFmtId="44" fontId="1" fillId="0" borderId="11" xfId="2" applyFont="1" applyBorder="1"/>
    <xf numFmtId="44" fontId="0" fillId="2" borderId="8" xfId="2" applyFont="1" applyFill="1" applyBorder="1" applyAlignment="1"/>
    <xf numFmtId="44" fontId="1" fillId="0" borderId="8" xfId="2" applyFont="1" applyBorder="1" applyAlignment="1">
      <alignment horizontal="center"/>
    </xf>
    <xf numFmtId="4" fontId="1" fillId="0" borderId="17" xfId="0" applyNumberFormat="1" applyFont="1" applyBorder="1"/>
    <xf numFmtId="4" fontId="1" fillId="0" borderId="18" xfId="0" applyNumberFormat="1" applyFont="1" applyBorder="1" applyAlignment="1">
      <alignment horizontal="center"/>
    </xf>
    <xf numFmtId="44" fontId="1" fillId="0" borderId="19" xfId="2" applyFont="1" applyBorder="1"/>
    <xf numFmtId="4" fontId="0" fillId="2" borderId="14" xfId="0" applyNumberFormat="1" applyFill="1" applyBorder="1" applyAlignment="1"/>
    <xf numFmtId="4" fontId="0" fillId="2" borderId="12" xfId="0" applyNumberFormat="1" applyFill="1" applyBorder="1" applyAlignment="1"/>
    <xf numFmtId="4" fontId="0" fillId="0" borderId="0" xfId="0" applyNumberFormat="1" applyFill="1" applyBorder="1"/>
    <xf numFmtId="44" fontId="0" fillId="0" borderId="10" xfId="2" applyFont="1" applyBorder="1" applyAlignment="1">
      <alignment horizontal="center"/>
    </xf>
    <xf numFmtId="44" fontId="1" fillId="0" borderId="9" xfId="2" applyFont="1" applyBorder="1" applyAlignment="1">
      <alignment horizontal="center"/>
    </xf>
    <xf numFmtId="44" fontId="0" fillId="2" borderId="20" xfId="2" applyFont="1" applyFill="1" applyBorder="1" applyAlignment="1"/>
    <xf numFmtId="4" fontId="6" fillId="0" borderId="0" xfId="0" applyNumberFormat="1" applyFont="1"/>
    <xf numFmtId="9" fontId="0" fillId="0" borderId="0" xfId="3" applyFont="1"/>
    <xf numFmtId="4" fontId="1" fillId="0" borderId="21" xfId="0" applyNumberFormat="1" applyFont="1" applyBorder="1"/>
    <xf numFmtId="0" fontId="1" fillId="0" borderId="11" xfId="1" applyNumberFormat="1" applyFont="1" applyBorder="1" applyAlignment="1">
      <alignment horizontal="center" vertical="center"/>
    </xf>
    <xf numFmtId="4" fontId="1" fillId="0" borderId="11" xfId="0" applyNumberFormat="1" applyFont="1" applyBorder="1"/>
    <xf numFmtId="4" fontId="1" fillId="0" borderId="22" xfId="0" applyNumberFormat="1" applyFont="1" applyBorder="1" applyAlignment="1">
      <alignment horizontal="center" vertical="center"/>
    </xf>
    <xf numFmtId="4" fontId="0" fillId="0" borderId="23" xfId="0" applyNumberFormat="1" applyBorder="1"/>
    <xf numFmtId="0" fontId="0" fillId="0" borderId="23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4" fontId="0" fillId="0" borderId="23" xfId="2" applyFont="1" applyBorder="1"/>
    <xf numFmtId="4" fontId="1" fillId="0" borderId="24" xfId="0" applyNumberFormat="1" applyFont="1" applyBorder="1"/>
    <xf numFmtId="0" fontId="0" fillId="0" borderId="25" xfId="0" applyNumberFormat="1" applyBorder="1" applyAlignment="1">
      <alignment horizontal="center"/>
    </xf>
    <xf numFmtId="4" fontId="0" fillId="0" borderId="25" xfId="0" applyNumberFormat="1" applyBorder="1"/>
    <xf numFmtId="44" fontId="1" fillId="0" borderId="26" xfId="2" applyFont="1" applyBorder="1"/>
    <xf numFmtId="44" fontId="0" fillId="0" borderId="9" xfId="2" applyFont="1" applyBorder="1"/>
    <xf numFmtId="44" fontId="0" fillId="2" borderId="9" xfId="2" applyFont="1" applyFill="1" applyBorder="1" applyAlignment="1"/>
    <xf numFmtId="0" fontId="1" fillId="0" borderId="25" xfId="0" applyNumberFormat="1" applyFont="1" applyBorder="1" applyAlignment="1">
      <alignment horizontal="center" vertical="center"/>
    </xf>
    <xf numFmtId="44" fontId="1" fillId="0" borderId="26" xfId="2" applyFont="1" applyBorder="1" applyAlignment="1">
      <alignment horizontal="center" vertical="center"/>
    </xf>
    <xf numFmtId="4" fontId="1" fillId="0" borderId="9" xfId="0" applyNumberFormat="1" applyFont="1" applyBorder="1"/>
    <xf numFmtId="4" fontId="0" fillId="2" borderId="13" xfId="0" applyNumberFormat="1" applyFill="1" applyBorder="1" applyAlignment="1"/>
    <xf numFmtId="4" fontId="0" fillId="2" borderId="0" xfId="0" applyNumberFormat="1" applyFill="1" applyBorder="1" applyAlignment="1"/>
    <xf numFmtId="44" fontId="0" fillId="2" borderId="27" xfId="2" applyFont="1" applyFill="1" applyBorder="1" applyAlignment="1"/>
    <xf numFmtId="4" fontId="1" fillId="0" borderId="25" xfId="0" applyNumberFormat="1" applyFont="1" applyBorder="1"/>
    <xf numFmtId="9" fontId="0" fillId="0" borderId="10" xfId="3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23" xfId="2" applyFont="1" applyBorder="1" applyAlignment="1">
      <alignment horizontal="center"/>
    </xf>
    <xf numFmtId="44" fontId="0" fillId="0" borderId="26" xfId="2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4" fontId="1" fillId="0" borderId="26" xfId="2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164" fontId="0" fillId="0" borderId="10" xfId="3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9" fontId="0" fillId="0" borderId="10" xfId="3" applyNumberFormat="1" applyFont="1" applyBorder="1" applyAlignment="1">
      <alignment horizontal="center"/>
    </xf>
    <xf numFmtId="4" fontId="0" fillId="0" borderId="0" xfId="0" applyNumberFormat="1" applyBorder="1" applyAlignment="1">
      <alignment horizontal="left" vertical="center"/>
    </xf>
    <xf numFmtId="9" fontId="0" fillId="0" borderId="0" xfId="3" applyFont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28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4" fontId="0" fillId="0" borderId="11" xfId="0" quotePrefix="1" applyNumberFormat="1" applyBorder="1"/>
    <xf numFmtId="4" fontId="1" fillId="0" borderId="0" xfId="0" applyNumberFormat="1" applyFont="1" applyAlignment="1">
      <alignment horizontal="right"/>
    </xf>
    <xf numFmtId="9" fontId="1" fillId="0" borderId="0" xfId="3" applyFont="1"/>
    <xf numFmtId="9" fontId="0" fillId="0" borderId="10" xfId="3" applyFont="1" applyBorder="1"/>
    <xf numFmtId="4" fontId="3" fillId="2" borderId="28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4" fontId="0" fillId="0" borderId="7" xfId="2" applyFont="1" applyBorder="1"/>
    <xf numFmtId="4" fontId="1" fillId="2" borderId="30" xfId="0" applyNumberFormat="1" applyFont="1" applyFill="1" applyBorder="1" applyAlignment="1">
      <alignment horizontal="center"/>
    </xf>
    <xf numFmtId="4" fontId="1" fillId="2" borderId="31" xfId="0" applyNumberFormat="1" applyFont="1" applyFill="1" applyBorder="1" applyAlignment="1">
      <alignment horizontal="center"/>
    </xf>
    <xf numFmtId="4" fontId="1" fillId="2" borderId="32" xfId="0" applyNumberFormat="1" applyFont="1" applyFill="1" applyBorder="1" applyAlignment="1">
      <alignment horizontal="center"/>
    </xf>
    <xf numFmtId="44" fontId="1" fillId="0" borderId="31" xfId="2" applyFont="1" applyBorder="1"/>
    <xf numFmtId="4" fontId="1" fillId="0" borderId="31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4" fontId="1" fillId="0" borderId="33" xfId="2" applyFont="1" applyBorder="1"/>
    <xf numFmtId="4" fontId="1" fillId="0" borderId="14" xfId="0" applyNumberFormat="1" applyFont="1" applyBorder="1"/>
    <xf numFmtId="0" fontId="1" fillId="0" borderId="12" xfId="1" applyNumberFormat="1" applyFont="1" applyBorder="1" applyAlignment="1">
      <alignment horizontal="center" vertical="center"/>
    </xf>
    <xf numFmtId="4" fontId="1" fillId="0" borderId="12" xfId="0" applyNumberFormat="1" applyFont="1" applyBorder="1"/>
    <xf numFmtId="4" fontId="1" fillId="0" borderId="12" xfId="0" applyNumberFormat="1" applyFont="1" applyBorder="1" applyAlignment="1">
      <alignment horizontal="center" vertical="center"/>
    </xf>
    <xf numFmtId="44" fontId="1" fillId="0" borderId="20" xfId="2" applyFont="1" applyBorder="1"/>
    <xf numFmtId="0" fontId="0" fillId="0" borderId="16" xfId="1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1" fillId="0" borderId="10" xfId="0" applyNumberFormat="1" applyFont="1" applyBorder="1"/>
    <xf numFmtId="44" fontId="1" fillId="0" borderId="10" xfId="2" applyFont="1" applyBorder="1"/>
    <xf numFmtId="0" fontId="0" fillId="0" borderId="10" xfId="1" applyNumberFormat="1" applyFont="1" applyBorder="1" applyAlignment="1">
      <alignment horizontal="center" vertical="center"/>
    </xf>
    <xf numFmtId="0" fontId="1" fillId="0" borderId="10" xfId="0" applyNumberFormat="1" applyFont="1" applyBorder="1"/>
    <xf numFmtId="4" fontId="1" fillId="0" borderId="8" xfId="0" applyNumberFormat="1" applyFont="1" applyBorder="1" applyAlignment="1">
      <alignment horizontal="center"/>
    </xf>
    <xf numFmtId="4" fontId="0" fillId="0" borderId="0" xfId="0" quotePrefix="1" applyNumberFormat="1" applyAlignment="1">
      <alignment horizontal="center"/>
    </xf>
    <xf numFmtId="44" fontId="10" fillId="0" borderId="0" xfId="2" applyFont="1"/>
    <xf numFmtId="44" fontId="10" fillId="0" borderId="0" xfId="2" applyFont="1" applyAlignment="1">
      <alignment vertical="center"/>
    </xf>
    <xf numFmtId="9" fontId="0" fillId="0" borderId="0" xfId="3" applyFont="1" applyAlignment="1">
      <alignment horizontal="center"/>
    </xf>
    <xf numFmtId="0" fontId="0" fillId="0" borderId="0" xfId="0" applyNumberFormat="1" applyAlignment="1">
      <alignment horizontal="center" vertical="center"/>
    </xf>
    <xf numFmtId="4" fontId="0" fillId="0" borderId="11" xfId="0" quotePrefix="1" applyNumberFormat="1" applyBorder="1" applyAlignment="1">
      <alignment horizontal="right"/>
    </xf>
    <xf numFmtId="4" fontId="0" fillId="0" borderId="11" xfId="0" quotePrefix="1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2" borderId="21" xfId="0" applyNumberFormat="1" applyFill="1" applyBorder="1" applyAlignment="1"/>
    <xf numFmtId="4" fontId="0" fillId="2" borderId="11" xfId="0" applyNumberFormat="1" applyFill="1" applyBorder="1" applyAlignment="1"/>
    <xf numFmtId="4" fontId="0" fillId="2" borderId="22" xfId="0" applyNumberFormat="1" applyFill="1" applyBorder="1" applyAlignment="1"/>
    <xf numFmtId="0" fontId="0" fillId="0" borderId="23" xfId="1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28" xfId="1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4" fontId="0" fillId="0" borderId="28" xfId="0" applyNumberFormat="1" applyBorder="1" applyAlignment="1">
      <alignment horizontal="center" vertical="center"/>
    </xf>
    <xf numFmtId="44" fontId="0" fillId="0" borderId="28" xfId="2" applyFont="1" applyBorder="1"/>
    <xf numFmtId="4" fontId="0" fillId="2" borderId="11" xfId="0" applyNumberFormat="1" applyFill="1" applyBorder="1" applyAlignment="1">
      <alignment horizontal="center"/>
    </xf>
    <xf numFmtId="4" fontId="0" fillId="2" borderId="27" xfId="0" applyNumberFormat="1" applyFill="1" applyBorder="1" applyAlignment="1"/>
    <xf numFmtId="3" fontId="0" fillId="0" borderId="10" xfId="0" applyNumberFormat="1" applyBorder="1" applyAlignment="1">
      <alignment horizontal="center"/>
    </xf>
    <xf numFmtId="4" fontId="0" fillId="0" borderId="0" xfId="0" applyNumberFormat="1" applyFill="1"/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0" fillId="0" borderId="0" xfId="0" applyNumberFormat="1" applyFont="1" applyAlignment="1">
      <alignment horizontal="center"/>
    </xf>
    <xf numFmtId="0" fontId="12" fillId="0" borderId="10" xfId="0" applyFont="1" applyBorder="1"/>
    <xf numFmtId="166" fontId="12" fillId="0" borderId="10" xfId="0" applyNumberFormat="1" applyFont="1" applyBorder="1"/>
    <xf numFmtId="10" fontId="12" fillId="0" borderId="10" xfId="0" applyNumberFormat="1" applyFont="1" applyBorder="1"/>
    <xf numFmtId="44" fontId="12" fillId="0" borderId="10" xfId="0" applyNumberFormat="1" applyFont="1" applyBorder="1"/>
    <xf numFmtId="0" fontId="13" fillId="2" borderId="10" xfId="0" applyFont="1" applyFill="1" applyBorder="1"/>
    <xf numFmtId="8" fontId="13" fillId="2" borderId="10" xfId="0" applyNumberFormat="1" applyFont="1" applyFill="1" applyBorder="1"/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6" fontId="13" fillId="2" borderId="10" xfId="0" applyNumberFormat="1" applyFont="1" applyFill="1" applyBorder="1"/>
    <xf numFmtId="0" fontId="12" fillId="0" borderId="0" xfId="0" applyFont="1" applyAlignment="1">
      <alignment horizontal="right"/>
    </xf>
    <xf numFmtId="166" fontId="13" fillId="2" borderId="16" xfId="0" applyNumberFormat="1" applyFont="1" applyFill="1" applyBorder="1"/>
    <xf numFmtId="4" fontId="0" fillId="0" borderId="0" xfId="0" applyNumberFormat="1" applyFont="1"/>
    <xf numFmtId="4" fontId="1" fillId="2" borderId="10" xfId="0" applyNumberFormat="1" applyFont="1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1" fillId="2" borderId="9" xfId="0" applyNumberFormat="1" applyFont="1" applyFill="1" applyBorder="1"/>
    <xf numFmtId="4" fontId="0" fillId="2" borderId="9" xfId="0" applyNumberFormat="1" applyFill="1" applyBorder="1"/>
    <xf numFmtId="0" fontId="1" fillId="2" borderId="10" xfId="0" applyNumberFormat="1" applyFont="1" applyFill="1" applyBorder="1" applyAlignment="1">
      <alignment horizontal="center"/>
    </xf>
    <xf numFmtId="4" fontId="0" fillId="2" borderId="8" xfId="0" applyNumberFormat="1" applyFill="1" applyBorder="1"/>
    <xf numFmtId="4" fontId="0" fillId="0" borderId="10" xfId="0" quotePrefix="1" applyNumberFormat="1" applyBorder="1"/>
    <xf numFmtId="4" fontId="0" fillId="0" borderId="23" xfId="0" quotePrefix="1" applyNumberFormat="1" applyBorder="1"/>
    <xf numFmtId="4" fontId="0" fillId="0" borderId="16" xfId="0" quotePrefix="1" applyNumberFormat="1" applyBorder="1"/>
    <xf numFmtId="4" fontId="1" fillId="0" borderId="7" xfId="0" quotePrefix="1" applyNumberFormat="1" applyFont="1" applyBorder="1"/>
    <xf numFmtId="4" fontId="1" fillId="0" borderId="10" xfId="0" quotePrefix="1" applyNumberFormat="1" applyFont="1" applyBorder="1"/>
    <xf numFmtId="4" fontId="0" fillId="0" borderId="28" xfId="0" quotePrefix="1" applyNumberFormat="1" applyBorder="1"/>
    <xf numFmtId="4" fontId="1" fillId="0" borderId="24" xfId="0" quotePrefix="1" applyNumberFormat="1" applyFont="1" applyBorder="1"/>
    <xf numFmtId="4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" fontId="1" fillId="2" borderId="23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4" fontId="1" fillId="0" borderId="0" xfId="2" applyFont="1" applyAlignment="1">
      <alignment horizontal="center"/>
    </xf>
    <xf numFmtId="4" fontId="9" fillId="0" borderId="0" xfId="0" applyNumberFormat="1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view="pageLayout" topLeftCell="A102" workbookViewId="0">
      <selection activeCell="A64" sqref="A64"/>
    </sheetView>
  </sheetViews>
  <sheetFormatPr baseColWidth="10" defaultColWidth="11.5703125" defaultRowHeight="15"/>
  <cols>
    <col min="1" max="1" width="48" style="1" customWidth="1"/>
    <col min="2" max="2" width="12.140625" style="1" customWidth="1"/>
    <col min="3" max="3" width="14.5703125" style="1" bestFit="1" customWidth="1"/>
    <col min="4" max="4" width="15.28515625" style="1" bestFit="1" customWidth="1"/>
    <col min="5" max="16384" width="11.5703125" style="1"/>
  </cols>
  <sheetData>
    <row r="1" spans="1:7" ht="15.75">
      <c r="A1" s="3" t="s">
        <v>0</v>
      </c>
    </row>
    <row r="2" spans="1:7" ht="15.75" thickBot="1"/>
    <row r="3" spans="1:7">
      <c r="A3" s="198" t="s">
        <v>121</v>
      </c>
      <c r="B3" s="199"/>
      <c r="C3" s="199"/>
      <c r="D3" s="199"/>
      <c r="E3" s="199"/>
      <c r="F3" s="199"/>
      <c r="G3" s="200"/>
    </row>
    <row r="4" spans="1:7" ht="15.75" thickBot="1">
      <c r="A4" s="201"/>
      <c r="B4" s="202"/>
      <c r="C4" s="202"/>
      <c r="D4" s="202"/>
      <c r="E4" s="202"/>
      <c r="F4" s="202"/>
      <c r="G4" s="203"/>
    </row>
    <row r="6" spans="1:7">
      <c r="A6" s="47" t="s">
        <v>77</v>
      </c>
    </row>
    <row r="7" spans="1:7">
      <c r="A7" s="184" t="s">
        <v>5</v>
      </c>
      <c r="B7" s="184" t="s">
        <v>6</v>
      </c>
      <c r="C7" s="184" t="s">
        <v>7</v>
      </c>
      <c r="D7" s="184" t="s">
        <v>8</v>
      </c>
      <c r="E7" s="11"/>
    </row>
    <row r="8" spans="1:7">
      <c r="A8" s="77" t="s">
        <v>9</v>
      </c>
      <c r="B8" s="78"/>
      <c r="C8" s="79"/>
      <c r="D8" s="80"/>
      <c r="E8" s="12"/>
    </row>
    <row r="9" spans="1:7">
      <c r="A9" s="191" t="s">
        <v>370</v>
      </c>
      <c r="B9" s="29"/>
      <c r="C9" s="9" t="s">
        <v>10</v>
      </c>
      <c r="D9" s="10">
        <f>+(15000-1000)*8</f>
        <v>112000</v>
      </c>
      <c r="E9" s="12"/>
    </row>
    <row r="10" spans="1:7">
      <c r="A10" s="191" t="s">
        <v>371</v>
      </c>
      <c r="B10" s="29" t="s">
        <v>18</v>
      </c>
      <c r="C10" s="9" t="s">
        <v>16</v>
      </c>
      <c r="D10" s="10">
        <f>1000*8</f>
        <v>8000</v>
      </c>
      <c r="E10" s="12"/>
    </row>
    <row r="11" spans="1:7">
      <c r="A11" s="191" t="s">
        <v>368</v>
      </c>
      <c r="B11" s="29"/>
      <c r="C11" s="9" t="s">
        <v>11</v>
      </c>
      <c r="D11" s="10">
        <v>6000</v>
      </c>
      <c r="E11" s="12"/>
    </row>
    <row r="12" spans="1:7">
      <c r="A12" s="191" t="s">
        <v>372</v>
      </c>
      <c r="B12" s="29" t="s">
        <v>19</v>
      </c>
      <c r="C12" s="9" t="s">
        <v>17</v>
      </c>
      <c r="D12" s="10">
        <f>+B56</f>
        <v>5000</v>
      </c>
      <c r="E12" s="12"/>
    </row>
    <row r="13" spans="1:7">
      <c r="A13" s="191" t="s">
        <v>373</v>
      </c>
      <c r="B13" s="29"/>
      <c r="C13" s="9" t="s">
        <v>31</v>
      </c>
      <c r="D13" s="10">
        <f>8000*12</f>
        <v>96000</v>
      </c>
      <c r="E13" s="12"/>
    </row>
    <row r="14" spans="1:7">
      <c r="A14" s="194" t="s">
        <v>374</v>
      </c>
      <c r="B14" s="5"/>
      <c r="C14" s="6"/>
      <c r="D14" s="7">
        <f>SUM(D9:D13)</f>
        <v>227000</v>
      </c>
      <c r="E14" s="12"/>
    </row>
    <row r="15" spans="1:7" ht="6" customHeight="1">
      <c r="A15" s="30"/>
      <c r="B15" s="31"/>
      <c r="C15" s="31"/>
      <c r="D15" s="32"/>
      <c r="E15" s="13"/>
    </row>
    <row r="16" spans="1:7">
      <c r="A16" s="191" t="s">
        <v>375</v>
      </c>
      <c r="B16" s="8"/>
      <c r="C16" s="9" t="s">
        <v>13</v>
      </c>
      <c r="D16" s="10">
        <f>-D11</f>
        <v>-6000</v>
      </c>
      <c r="E16" s="12"/>
    </row>
    <row r="17" spans="1:5">
      <c r="A17" s="191" t="s">
        <v>376</v>
      </c>
      <c r="B17" s="29"/>
      <c r="C17" s="9" t="s">
        <v>30</v>
      </c>
      <c r="D17" s="10">
        <f>-5%*D14</f>
        <v>-11350</v>
      </c>
      <c r="E17" s="12"/>
    </row>
    <row r="18" spans="1:5">
      <c r="A18" s="191" t="s">
        <v>349</v>
      </c>
      <c r="B18" s="29" t="s">
        <v>47</v>
      </c>
      <c r="C18" s="9" t="s">
        <v>14</v>
      </c>
      <c r="D18" s="10">
        <f>-D68</f>
        <v>-13600</v>
      </c>
      <c r="E18" s="12"/>
    </row>
    <row r="19" spans="1:5">
      <c r="A19" s="191" t="s">
        <v>377</v>
      </c>
      <c r="B19" s="29" t="s">
        <v>49</v>
      </c>
      <c r="C19" s="29" t="s">
        <v>48</v>
      </c>
      <c r="D19" s="10">
        <f>-B72</f>
        <v>-10000</v>
      </c>
      <c r="E19" s="12"/>
    </row>
    <row r="20" spans="1:5">
      <c r="A20" s="191" t="s">
        <v>378</v>
      </c>
      <c r="B20" s="29" t="s">
        <v>50</v>
      </c>
      <c r="C20" s="29" t="s">
        <v>60</v>
      </c>
      <c r="D20" s="10">
        <f>-C89</f>
        <v>-318.47133757961785</v>
      </c>
      <c r="E20" s="12"/>
    </row>
    <row r="21" spans="1:5">
      <c r="A21" s="194" t="s">
        <v>379</v>
      </c>
      <c r="B21" s="5"/>
      <c r="C21" s="6"/>
      <c r="D21" s="7">
        <f>+D14+SUM(D16:D20)</f>
        <v>185731.52866242037</v>
      </c>
    </row>
    <row r="22" spans="1:5" ht="6" customHeight="1">
      <c r="A22" s="30"/>
      <c r="B22" s="31"/>
      <c r="C22" s="31"/>
      <c r="D22" s="90"/>
      <c r="E22" s="13"/>
    </row>
    <row r="23" spans="1:5">
      <c r="A23" s="4" t="s">
        <v>99</v>
      </c>
      <c r="B23" s="55"/>
      <c r="C23" s="55"/>
      <c r="D23" s="65"/>
      <c r="E23" s="60"/>
    </row>
    <row r="24" spans="1:5">
      <c r="A24" s="193" t="s">
        <v>351</v>
      </c>
      <c r="B24" s="57" t="s">
        <v>101</v>
      </c>
      <c r="C24" s="58" t="s">
        <v>100</v>
      </c>
      <c r="D24" s="59">
        <v>-996.23</v>
      </c>
    </row>
    <row r="25" spans="1:5" ht="6" customHeight="1">
      <c r="A25" s="30"/>
      <c r="B25" s="31"/>
      <c r="C25" s="31"/>
      <c r="D25" s="64"/>
      <c r="E25" s="13"/>
    </row>
    <row r="26" spans="1:5">
      <c r="A26" s="4" t="s">
        <v>108</v>
      </c>
      <c r="B26" s="55"/>
      <c r="C26" s="55"/>
      <c r="D26" s="65"/>
      <c r="E26" s="11"/>
    </row>
    <row r="27" spans="1:5">
      <c r="A27" s="191" t="s">
        <v>354</v>
      </c>
      <c r="B27" s="50"/>
      <c r="C27" s="50" t="s">
        <v>109</v>
      </c>
      <c r="D27" s="72">
        <v>-15552</v>
      </c>
      <c r="E27" s="46"/>
    </row>
    <row r="28" spans="1:5">
      <c r="A28" s="191" t="s">
        <v>380</v>
      </c>
      <c r="B28" s="50"/>
      <c r="C28" s="29" t="s">
        <v>110</v>
      </c>
      <c r="D28" s="10">
        <v>-6480</v>
      </c>
      <c r="E28" s="46"/>
    </row>
    <row r="29" spans="1:5">
      <c r="A29" s="194" t="s">
        <v>357</v>
      </c>
      <c r="B29" s="55"/>
      <c r="C29" s="55"/>
      <c r="D29" s="73">
        <f>+D21+D24+D27+D28</f>
        <v>162703.29866242036</v>
      </c>
      <c r="E29" s="11"/>
    </row>
    <row r="30" spans="1:5" ht="6.75" customHeight="1" thickBot="1">
      <c r="A30" s="69"/>
      <c r="B30" s="70"/>
      <c r="C30" s="70"/>
      <c r="D30" s="74"/>
      <c r="E30" s="13"/>
    </row>
    <row r="31" spans="1:5" ht="15.75" thickBot="1">
      <c r="A31" s="66" t="s">
        <v>111</v>
      </c>
      <c r="B31" s="67" t="s">
        <v>112</v>
      </c>
      <c r="C31" s="67" t="s">
        <v>113</v>
      </c>
      <c r="D31" s="68">
        <f>+C111</f>
        <v>43446.154531847125</v>
      </c>
      <c r="E31" s="71"/>
    </row>
    <row r="32" spans="1:5">
      <c r="E32" s="71"/>
    </row>
    <row r="33" spans="1:7">
      <c r="A33" s="185" t="s">
        <v>20</v>
      </c>
      <c r="B33" s="186"/>
      <c r="C33" s="186"/>
      <c r="D33" s="186"/>
      <c r="E33" s="186"/>
      <c r="F33" s="186"/>
      <c r="G33" s="187"/>
    </row>
    <row r="34" spans="1:7">
      <c r="A34" s="1" t="s">
        <v>21</v>
      </c>
    </row>
    <row r="35" spans="1:7">
      <c r="A35" s="1" t="s">
        <v>22</v>
      </c>
    </row>
    <row r="37" spans="1:7">
      <c r="A37" s="185" t="s">
        <v>23</v>
      </c>
      <c r="B37" s="186"/>
      <c r="C37" s="186"/>
      <c r="D37" s="186"/>
      <c r="E37" s="186"/>
      <c r="F37" s="186"/>
      <c r="G37" s="187"/>
    </row>
    <row r="38" spans="1:7">
      <c r="A38" s="1" t="s">
        <v>24</v>
      </c>
    </row>
    <row r="39" spans="1:7">
      <c r="A39" s="1" t="s">
        <v>25</v>
      </c>
    </row>
    <row r="40" spans="1:7">
      <c r="A40" s="1" t="s">
        <v>26</v>
      </c>
    </row>
    <row r="41" spans="1:7">
      <c r="A41" s="1" t="s">
        <v>27</v>
      </c>
    </row>
    <row r="42" spans="1:7">
      <c r="A42" s="1" t="s">
        <v>28</v>
      </c>
    </row>
    <row r="43" spans="1:7">
      <c r="A43" s="1" t="s">
        <v>29</v>
      </c>
    </row>
    <row r="45" spans="1:7">
      <c r="A45" s="1" t="s">
        <v>33</v>
      </c>
      <c r="B45" s="15">
        <v>50000</v>
      </c>
    </row>
    <row r="46" spans="1:7">
      <c r="A46" s="16" t="s">
        <v>32</v>
      </c>
      <c r="B46" s="17">
        <v>0.6</v>
      </c>
    </row>
    <row r="47" spans="1:7">
      <c r="A47" s="14" t="s">
        <v>34</v>
      </c>
      <c r="B47" s="15">
        <f>+B45*B46</f>
        <v>30000</v>
      </c>
    </row>
    <row r="49" spans="1:7">
      <c r="A49" s="1" t="s">
        <v>35</v>
      </c>
      <c r="B49" s="21">
        <v>24</v>
      </c>
      <c r="C49" s="1" t="s">
        <v>36</v>
      </c>
    </row>
    <row r="50" spans="1:7">
      <c r="A50" s="1" t="s">
        <v>37</v>
      </c>
      <c r="B50" s="19">
        <v>41395</v>
      </c>
    </row>
    <row r="51" spans="1:7">
      <c r="A51" s="1" t="s">
        <v>38</v>
      </c>
      <c r="B51" s="19">
        <v>42125</v>
      </c>
    </row>
    <row r="52" spans="1:7">
      <c r="A52" s="1" t="s">
        <v>39</v>
      </c>
      <c r="B52" s="20" t="s">
        <v>40</v>
      </c>
    </row>
    <row r="53" spans="1:7">
      <c r="A53" s="1" t="s">
        <v>41</v>
      </c>
      <c r="B53" s="20">
        <v>18</v>
      </c>
    </row>
    <row r="54" spans="1:7">
      <c r="A54" s="22" t="s">
        <v>45</v>
      </c>
      <c r="B54" s="15">
        <f>+B47/B53</f>
        <v>1666.6666666666667</v>
      </c>
    </row>
    <row r="55" spans="1:7">
      <c r="A55" s="1" t="s">
        <v>42</v>
      </c>
    </row>
    <row r="56" spans="1:7">
      <c r="A56" s="1" t="s">
        <v>43</v>
      </c>
      <c r="B56" s="24">
        <f>+B54*3</f>
        <v>5000</v>
      </c>
    </row>
    <row r="57" spans="1:7">
      <c r="A57" s="1" t="s">
        <v>44</v>
      </c>
      <c r="B57" s="15">
        <f>+B54*12</f>
        <v>20000</v>
      </c>
    </row>
    <row r="58" spans="1:7">
      <c r="A58" s="16" t="s">
        <v>46</v>
      </c>
      <c r="B58" s="23">
        <f>+B54*3</f>
        <v>5000</v>
      </c>
    </row>
    <row r="59" spans="1:7">
      <c r="B59" s="15">
        <f>SUM(B56:B58)</f>
        <v>30000</v>
      </c>
    </row>
    <row r="61" spans="1:7">
      <c r="A61" s="185" t="s">
        <v>51</v>
      </c>
      <c r="B61" s="186"/>
      <c r="C61" s="186"/>
      <c r="D61" s="186"/>
      <c r="E61" s="186"/>
      <c r="F61" s="186"/>
      <c r="G61" s="187"/>
    </row>
    <row r="62" spans="1:7">
      <c r="A62" s="1" t="s">
        <v>59</v>
      </c>
    </row>
    <row r="63" spans="1:7">
      <c r="A63" s="1" t="s">
        <v>381</v>
      </c>
    </row>
    <row r="64" spans="1:7">
      <c r="A64" s="1" t="s">
        <v>56</v>
      </c>
      <c r="B64" s="15">
        <f>800000*0.85</f>
        <v>680000</v>
      </c>
    </row>
    <row r="65" spans="1:7">
      <c r="A65" s="1" t="s">
        <v>61</v>
      </c>
      <c r="B65" s="18">
        <v>37681</v>
      </c>
    </row>
    <row r="66" spans="1:7">
      <c r="B66" s="18"/>
    </row>
    <row r="67" spans="1:7">
      <c r="A67" s="1" t="s">
        <v>57</v>
      </c>
      <c r="B67" s="27">
        <v>4</v>
      </c>
    </row>
    <row r="68" spans="1:7">
      <c r="A68" s="2" t="s">
        <v>58</v>
      </c>
      <c r="B68" s="28" t="s">
        <v>297</v>
      </c>
      <c r="D68" s="2">
        <f>+B64/200*B67</f>
        <v>13600</v>
      </c>
    </row>
    <row r="69" spans="1:7">
      <c r="A69" s="185" t="s">
        <v>52</v>
      </c>
      <c r="B69" s="186"/>
      <c r="C69" s="186"/>
      <c r="D69" s="186"/>
      <c r="E69" s="186"/>
      <c r="F69" s="186"/>
      <c r="G69" s="187"/>
    </row>
    <row r="70" spans="1:7">
      <c r="A70" s="25" t="s">
        <v>53</v>
      </c>
    </row>
    <row r="71" spans="1:7">
      <c r="A71" s="22" t="s">
        <v>54</v>
      </c>
      <c r="B71" s="1" t="s">
        <v>55</v>
      </c>
    </row>
    <row r="72" spans="1:7">
      <c r="A72" s="22" t="s">
        <v>54</v>
      </c>
      <c r="B72" s="2">
        <f>100000/10</f>
        <v>10000</v>
      </c>
    </row>
    <row r="74" spans="1:7">
      <c r="A74" s="185" t="s">
        <v>107</v>
      </c>
      <c r="B74" s="186"/>
      <c r="C74" s="186"/>
      <c r="D74" s="186"/>
      <c r="E74" s="186"/>
      <c r="F74" s="186"/>
      <c r="G74" s="187"/>
    </row>
    <row r="75" spans="1:7">
      <c r="A75" s="1" t="s">
        <v>62</v>
      </c>
    </row>
    <row r="76" spans="1:7">
      <c r="A76" s="1" t="s">
        <v>61</v>
      </c>
      <c r="B76" s="18">
        <v>37681</v>
      </c>
    </row>
    <row r="77" spans="1:7">
      <c r="A77" s="1" t="s">
        <v>311</v>
      </c>
      <c r="B77" s="18">
        <v>41622</v>
      </c>
    </row>
    <row r="78" spans="1:7">
      <c r="A78" s="1" t="s">
        <v>63</v>
      </c>
      <c r="B78" s="15">
        <v>50000</v>
      </c>
    </row>
    <row r="79" spans="1:7">
      <c r="A79" s="1" t="s">
        <v>73</v>
      </c>
    </row>
    <row r="80" spans="1:7">
      <c r="A80" s="1" t="s">
        <v>74</v>
      </c>
      <c r="F80" s="35" t="s">
        <v>69</v>
      </c>
      <c r="G80" s="38" t="s">
        <v>65</v>
      </c>
    </row>
    <row r="81" spans="1:7">
      <c r="F81" s="37">
        <v>2003</v>
      </c>
      <c r="G81" s="39">
        <v>4</v>
      </c>
    </row>
    <row r="82" spans="1:7">
      <c r="A82" s="1" t="s">
        <v>64</v>
      </c>
      <c r="C82" s="26">
        <v>200</v>
      </c>
      <c r="D82" s="1" t="s">
        <v>65</v>
      </c>
      <c r="F82" s="36">
        <v>2004</v>
      </c>
      <c r="G82" s="40">
        <v>4</v>
      </c>
    </row>
    <row r="83" spans="1:7">
      <c r="A83" s="16" t="s">
        <v>66</v>
      </c>
      <c r="B83" s="16"/>
      <c r="C83" s="33">
        <f>10*4+3</f>
        <v>43</v>
      </c>
      <c r="D83" s="1" t="s">
        <v>65</v>
      </c>
      <c r="F83" s="36">
        <v>2005</v>
      </c>
      <c r="G83" s="40">
        <v>4</v>
      </c>
    </row>
    <row r="84" spans="1:7">
      <c r="C84" s="26">
        <f>+C82-C83</f>
        <v>157</v>
      </c>
      <c r="D84" s="1" t="s">
        <v>65</v>
      </c>
      <c r="F84" s="36">
        <v>2006</v>
      </c>
      <c r="G84" s="40">
        <v>4</v>
      </c>
    </row>
    <row r="85" spans="1:7">
      <c r="D85" s="1" t="s">
        <v>67</v>
      </c>
      <c r="F85" s="36">
        <v>2007</v>
      </c>
      <c r="G85" s="40">
        <v>4</v>
      </c>
    </row>
    <row r="86" spans="1:7">
      <c r="A86" s="1" t="s">
        <v>68</v>
      </c>
      <c r="C86" s="43">
        <f>+(B78/C84)*4</f>
        <v>1273.8853503184714</v>
      </c>
      <c r="F86" s="36">
        <v>2008</v>
      </c>
      <c r="G86" s="40">
        <v>4</v>
      </c>
    </row>
    <row r="87" spans="1:7">
      <c r="F87" s="36">
        <v>2009</v>
      </c>
      <c r="G87" s="40">
        <v>4</v>
      </c>
    </row>
    <row r="88" spans="1:7">
      <c r="A88" s="1" t="s">
        <v>70</v>
      </c>
      <c r="F88" s="36">
        <v>2010</v>
      </c>
      <c r="G88" s="40">
        <v>4</v>
      </c>
    </row>
    <row r="89" spans="1:7">
      <c r="A89" s="35" t="s">
        <v>71</v>
      </c>
      <c r="C89" s="24">
        <f>+B78/C84*1</f>
        <v>318.47133757961785</v>
      </c>
      <c r="F89" s="36">
        <v>2011</v>
      </c>
      <c r="G89" s="40">
        <v>4</v>
      </c>
    </row>
    <row r="90" spans="1:7">
      <c r="A90" s="1" t="s">
        <v>72</v>
      </c>
      <c r="F90" s="36">
        <v>2012</v>
      </c>
      <c r="G90" s="40">
        <v>4</v>
      </c>
    </row>
    <row r="91" spans="1:7" ht="15.75" thickBot="1">
      <c r="A91" s="1" t="s">
        <v>312</v>
      </c>
      <c r="F91" s="41">
        <v>2013</v>
      </c>
      <c r="G91" s="42">
        <v>3</v>
      </c>
    </row>
    <row r="92" spans="1:7">
      <c r="G92" s="27">
        <f>SUM(G81:G91)</f>
        <v>43</v>
      </c>
    </row>
    <row r="93" spans="1:7">
      <c r="G93" s="27"/>
    </row>
    <row r="94" spans="1:7">
      <c r="A94" s="185" t="s">
        <v>106</v>
      </c>
      <c r="B94" s="186"/>
      <c r="C94" s="186"/>
      <c r="D94" s="186"/>
      <c r="E94" s="186"/>
      <c r="F94" s="186"/>
      <c r="G94" s="187"/>
    </row>
    <row r="95" spans="1:7">
      <c r="A95" s="1" t="s">
        <v>102</v>
      </c>
    </row>
    <row r="96" spans="1:7">
      <c r="A96" s="1" t="s">
        <v>103</v>
      </c>
      <c r="C96" s="15">
        <v>3000</v>
      </c>
    </row>
    <row r="97" spans="1:7">
      <c r="A97" s="61" t="s">
        <v>104</v>
      </c>
      <c r="B97" s="62"/>
      <c r="C97" s="63">
        <v>996.23</v>
      </c>
    </row>
    <row r="98" spans="1:7">
      <c r="A98" s="1" t="s">
        <v>105</v>
      </c>
      <c r="C98" s="15">
        <f>+C96-C97</f>
        <v>2003.77</v>
      </c>
    </row>
    <row r="99" spans="1:7">
      <c r="C99" s="15"/>
    </row>
    <row r="100" spans="1:7">
      <c r="C100" s="15"/>
    </row>
    <row r="101" spans="1:7">
      <c r="C101" s="15"/>
    </row>
    <row r="102" spans="1:7">
      <c r="A102" s="185" t="s">
        <v>114</v>
      </c>
      <c r="B102" s="186"/>
      <c r="C102" s="186"/>
      <c r="D102" s="186"/>
      <c r="E102" s="186"/>
      <c r="F102" s="186"/>
      <c r="G102" s="188"/>
    </row>
    <row r="103" spans="1:7">
      <c r="A103" s="1" t="s">
        <v>115</v>
      </c>
      <c r="C103" s="15">
        <f>+D29</f>
        <v>162703.29866242036</v>
      </c>
    </row>
    <row r="104" spans="1:7">
      <c r="A104" s="1" t="s">
        <v>116</v>
      </c>
    </row>
    <row r="105" spans="1:7">
      <c r="A105" s="1" t="s">
        <v>117</v>
      </c>
      <c r="C105" s="24">
        <v>28500</v>
      </c>
    </row>
    <row r="106" spans="1:7">
      <c r="A106" s="75" t="s">
        <v>118</v>
      </c>
    </row>
    <row r="107" spans="1:7">
      <c r="A107" s="1" t="s">
        <v>119</v>
      </c>
      <c r="C107" s="76">
        <v>0.35</v>
      </c>
    </row>
    <row r="108" spans="1:7">
      <c r="A108" s="16" t="s">
        <v>298</v>
      </c>
      <c r="B108" s="16"/>
      <c r="C108" s="23">
        <f>+C103-120000</f>
        <v>42703.298662420362</v>
      </c>
    </row>
    <row r="109" spans="1:7">
      <c r="C109" s="24">
        <f>+C108*C107</f>
        <v>14946.154531847125</v>
      </c>
    </row>
    <row r="111" spans="1:7">
      <c r="A111" s="2" t="s">
        <v>120</v>
      </c>
      <c r="B111" s="2"/>
      <c r="C111" s="24">
        <f>+C105+C109</f>
        <v>43446.154531847125</v>
      </c>
    </row>
    <row r="114" spans="1:1">
      <c r="A114" s="1" t="s">
        <v>296</v>
      </c>
    </row>
    <row r="115" spans="1:1">
      <c r="A115" s="1" t="s">
        <v>97</v>
      </c>
    </row>
    <row r="116" spans="1:1">
      <c r="A116" s="1" t="s">
        <v>98</v>
      </c>
    </row>
  </sheetData>
  <mergeCells count="1">
    <mergeCell ref="A3:G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&amp;L&amp;"-,Negrita"&amp;K00-045GUÍA DE TRABAJOS PRÁCTICOS.
UNIDAD V&amp;R&amp;"-,Negrita"&amp;K00-046Florencia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Layout" topLeftCell="A35" workbookViewId="0">
      <selection activeCell="A14" sqref="A14"/>
    </sheetView>
  </sheetViews>
  <sheetFormatPr baseColWidth="10" defaultColWidth="11.5703125" defaultRowHeight="15"/>
  <cols>
    <col min="1" max="1" width="48.85546875" style="1" customWidth="1"/>
    <col min="2" max="2" width="12.42578125" style="1" bestFit="1" customWidth="1"/>
    <col min="3" max="3" width="11.5703125" style="1"/>
    <col min="4" max="4" width="14.5703125" style="1" bestFit="1" customWidth="1"/>
    <col min="5" max="5" width="12.42578125" style="1" bestFit="1" customWidth="1"/>
    <col min="6" max="16384" width="11.5703125" style="1"/>
  </cols>
  <sheetData>
    <row r="1" spans="1:7" ht="15.75">
      <c r="A1" s="3" t="s">
        <v>1</v>
      </c>
    </row>
    <row r="2" spans="1:7" ht="15.75" thickBot="1"/>
    <row r="3" spans="1:7">
      <c r="A3" s="198" t="s">
        <v>96</v>
      </c>
      <c r="B3" s="204"/>
      <c r="C3" s="204"/>
      <c r="D3" s="204"/>
      <c r="E3" s="204"/>
      <c r="F3" s="204"/>
      <c r="G3" s="205"/>
    </row>
    <row r="4" spans="1:7" ht="15.75" thickBot="1">
      <c r="A4" s="206"/>
      <c r="B4" s="207"/>
      <c r="C4" s="207"/>
      <c r="D4" s="207"/>
      <c r="E4" s="207"/>
      <c r="F4" s="207"/>
      <c r="G4" s="208"/>
    </row>
    <row r="6" spans="1:7">
      <c r="A6" s="47" t="s">
        <v>76</v>
      </c>
    </row>
    <row r="7" spans="1:7">
      <c r="A7" s="184" t="s">
        <v>5</v>
      </c>
      <c r="B7" s="184" t="s">
        <v>75</v>
      </c>
      <c r="C7" s="184" t="s">
        <v>6</v>
      </c>
      <c r="D7" s="184" t="s">
        <v>7</v>
      </c>
      <c r="E7" s="184" t="s">
        <v>8</v>
      </c>
    </row>
    <row r="8" spans="1:7">
      <c r="A8" s="4" t="s">
        <v>9</v>
      </c>
      <c r="B8" s="5"/>
      <c r="C8" s="6"/>
      <c r="D8" s="48"/>
      <c r="E8" s="49"/>
    </row>
    <row r="9" spans="1:7">
      <c r="A9" s="191" t="s">
        <v>382</v>
      </c>
      <c r="B9" s="50">
        <v>2</v>
      </c>
      <c r="C9" s="29"/>
      <c r="D9" s="9" t="s">
        <v>10</v>
      </c>
      <c r="E9" s="10">
        <f>2000*12</f>
        <v>24000</v>
      </c>
    </row>
    <row r="10" spans="1:7">
      <c r="A10" s="191" t="s">
        <v>368</v>
      </c>
      <c r="B10" s="50">
        <v>4</v>
      </c>
      <c r="C10" s="29"/>
      <c r="D10" s="9" t="s">
        <v>11</v>
      </c>
      <c r="E10" s="10">
        <v>2000</v>
      </c>
    </row>
    <row r="11" spans="1:7">
      <c r="A11" s="191" t="s">
        <v>383</v>
      </c>
      <c r="B11" s="50">
        <v>5</v>
      </c>
      <c r="C11" s="29"/>
      <c r="D11" s="9" t="s">
        <v>78</v>
      </c>
      <c r="E11" s="10">
        <v>1000</v>
      </c>
    </row>
    <row r="12" spans="1:7">
      <c r="A12" s="191" t="s">
        <v>384</v>
      </c>
      <c r="B12" s="50">
        <v>6</v>
      </c>
      <c r="C12" s="29" t="s">
        <v>18</v>
      </c>
      <c r="D12" s="29" t="s">
        <v>95</v>
      </c>
      <c r="E12" s="10">
        <f>-B40</f>
        <v>-12000</v>
      </c>
    </row>
    <row r="13" spans="1:7">
      <c r="A13" s="194" t="s">
        <v>388</v>
      </c>
      <c r="B13" s="51"/>
      <c r="C13" s="5"/>
      <c r="D13" s="6"/>
      <c r="E13" s="7">
        <f>SUM(E9:E12)</f>
        <v>15000</v>
      </c>
    </row>
    <row r="14" spans="1:7" ht="6" customHeight="1">
      <c r="A14" s="30"/>
      <c r="B14" s="52"/>
      <c r="C14" s="31"/>
      <c r="D14" s="31"/>
      <c r="E14" s="32"/>
    </row>
    <row r="15" spans="1:7">
      <c r="A15" s="191" t="s">
        <v>349</v>
      </c>
      <c r="B15" s="50">
        <v>1</v>
      </c>
      <c r="C15" s="29" t="s">
        <v>19</v>
      </c>
      <c r="D15" s="9" t="s">
        <v>14</v>
      </c>
      <c r="E15" s="10">
        <f>-B51</f>
        <v>-4020</v>
      </c>
    </row>
    <row r="16" spans="1:7">
      <c r="A16" s="191" t="s">
        <v>375</v>
      </c>
      <c r="B16" s="50">
        <v>4</v>
      </c>
      <c r="C16" s="8"/>
      <c r="D16" s="9" t="s">
        <v>13</v>
      </c>
      <c r="E16" s="10">
        <f>-E10</f>
        <v>-2000</v>
      </c>
    </row>
    <row r="17" spans="1:5">
      <c r="A17" s="191" t="s">
        <v>386</v>
      </c>
      <c r="B17" s="50">
        <v>3</v>
      </c>
      <c r="C17" s="29"/>
      <c r="D17" s="9" t="s">
        <v>30</v>
      </c>
      <c r="E17" s="10">
        <v>-1800</v>
      </c>
    </row>
    <row r="18" spans="1:5" ht="15.75" thickBot="1">
      <c r="A18" s="192" t="s">
        <v>387</v>
      </c>
      <c r="B18" s="82">
        <v>5</v>
      </c>
      <c r="C18" s="81"/>
      <c r="D18" s="83" t="s">
        <v>79</v>
      </c>
      <c r="E18" s="84">
        <f>-E11</f>
        <v>-1000</v>
      </c>
    </row>
    <row r="19" spans="1:5" ht="15.75" thickBot="1">
      <c r="A19" s="197" t="s">
        <v>379</v>
      </c>
      <c r="B19" s="86"/>
      <c r="C19" s="87"/>
      <c r="D19" s="87"/>
      <c r="E19" s="88">
        <f>+E13+SUM(E15:E18)</f>
        <v>6180</v>
      </c>
    </row>
    <row r="20" spans="1:5">
      <c r="A20" s="45"/>
      <c r="B20" s="44"/>
      <c r="C20" s="12"/>
      <c r="D20" s="12"/>
      <c r="E20" s="11"/>
    </row>
    <row r="21" spans="1:5">
      <c r="A21" s="47" t="s">
        <v>77</v>
      </c>
      <c r="B21" s="36"/>
    </row>
    <row r="22" spans="1:5">
      <c r="A22" s="184" t="s">
        <v>5</v>
      </c>
      <c r="B22" s="189" t="s">
        <v>75</v>
      </c>
      <c r="C22" s="184" t="s">
        <v>6</v>
      </c>
      <c r="D22" s="184" t="s">
        <v>7</v>
      </c>
      <c r="E22" s="184" t="s">
        <v>8</v>
      </c>
    </row>
    <row r="23" spans="1:5">
      <c r="A23" s="4" t="s">
        <v>9</v>
      </c>
      <c r="B23" s="5"/>
      <c r="C23" s="6"/>
      <c r="D23" s="48"/>
      <c r="E23" s="49"/>
    </row>
    <row r="24" spans="1:5">
      <c r="A24" s="191" t="s">
        <v>382</v>
      </c>
      <c r="B24" s="50">
        <v>2</v>
      </c>
      <c r="C24" s="29"/>
      <c r="D24" s="9" t="s">
        <v>10</v>
      </c>
      <c r="E24" s="10">
        <f>2000*12</f>
        <v>24000</v>
      </c>
    </row>
    <row r="25" spans="1:5">
      <c r="A25" s="191" t="s">
        <v>368</v>
      </c>
      <c r="B25" s="50">
        <v>4</v>
      </c>
      <c r="C25" s="29"/>
      <c r="D25" s="9" t="s">
        <v>11</v>
      </c>
      <c r="E25" s="10">
        <v>2600</v>
      </c>
    </row>
    <row r="26" spans="1:5">
      <c r="A26" s="191" t="s">
        <v>383</v>
      </c>
      <c r="B26" s="50">
        <v>5</v>
      </c>
      <c r="C26" s="29"/>
      <c r="D26" s="9" t="s">
        <v>78</v>
      </c>
      <c r="E26" s="10">
        <v>1000</v>
      </c>
    </row>
    <row r="27" spans="1:5">
      <c r="A27" s="191" t="s">
        <v>385</v>
      </c>
      <c r="B27" s="50">
        <v>6</v>
      </c>
      <c r="C27" s="29"/>
      <c r="D27" s="29" t="s">
        <v>95</v>
      </c>
      <c r="E27" s="10">
        <v>2000</v>
      </c>
    </row>
    <row r="28" spans="1:5">
      <c r="A28" s="194" t="s">
        <v>388</v>
      </c>
      <c r="B28" s="51"/>
      <c r="C28" s="5"/>
      <c r="D28" s="6"/>
      <c r="E28" s="7">
        <f>SUM(E24:E27)</f>
        <v>29600</v>
      </c>
    </row>
    <row r="29" spans="1:5" ht="6" customHeight="1">
      <c r="A29" s="30"/>
      <c r="B29" s="52"/>
      <c r="C29" s="31"/>
      <c r="D29" s="31"/>
      <c r="E29" s="32"/>
    </row>
    <row r="30" spans="1:5">
      <c r="A30" s="191" t="s">
        <v>349</v>
      </c>
      <c r="B30" s="50">
        <v>1</v>
      </c>
      <c r="C30" s="29" t="s">
        <v>19</v>
      </c>
      <c r="D30" s="9" t="s">
        <v>14</v>
      </c>
      <c r="E30" s="10">
        <f>-B51</f>
        <v>-4020</v>
      </c>
    </row>
    <row r="31" spans="1:5">
      <c r="A31" s="191" t="s">
        <v>375</v>
      </c>
      <c r="B31" s="50">
        <v>4</v>
      </c>
      <c r="C31" s="8"/>
      <c r="D31" s="9" t="s">
        <v>13</v>
      </c>
      <c r="E31" s="10">
        <f>-E25</f>
        <v>-2600</v>
      </c>
    </row>
    <row r="32" spans="1:5" ht="15.75" thickBot="1">
      <c r="A32" s="192" t="s">
        <v>387</v>
      </c>
      <c r="B32" s="82">
        <v>5</v>
      </c>
      <c r="C32" s="81"/>
      <c r="D32" s="83" t="s">
        <v>79</v>
      </c>
      <c r="E32" s="84">
        <f>-E26</f>
        <v>-1000</v>
      </c>
    </row>
    <row r="33" spans="1:7" ht="15.75" thickBot="1">
      <c r="A33" s="197" t="s">
        <v>379</v>
      </c>
      <c r="B33" s="86"/>
      <c r="C33" s="87"/>
      <c r="D33" s="87"/>
      <c r="E33" s="88">
        <f>+E28+SUM(E30:E32)</f>
        <v>21980</v>
      </c>
    </row>
    <row r="35" spans="1:7">
      <c r="A35" s="185" t="s">
        <v>80</v>
      </c>
      <c r="B35" s="186"/>
      <c r="C35" s="186"/>
      <c r="D35" s="186"/>
      <c r="E35" s="186"/>
      <c r="F35" s="190"/>
      <c r="G35" s="188"/>
    </row>
    <row r="36" spans="1:7">
      <c r="A36" s="1" t="s">
        <v>81</v>
      </c>
      <c r="B36" s="15">
        <v>1500</v>
      </c>
    </row>
    <row r="37" spans="1:7">
      <c r="A37" s="1" t="s">
        <v>82</v>
      </c>
      <c r="B37" s="1" t="s">
        <v>83</v>
      </c>
    </row>
    <row r="38" spans="1:7">
      <c r="A38" s="1" t="s">
        <v>84</v>
      </c>
      <c r="B38" s="54">
        <v>41061</v>
      </c>
    </row>
    <row r="39" spans="1:7">
      <c r="A39" s="1" t="s">
        <v>85</v>
      </c>
      <c r="B39" s="54">
        <v>40848</v>
      </c>
    </row>
    <row r="40" spans="1:7">
      <c r="A40" s="35" t="s">
        <v>88</v>
      </c>
      <c r="B40" s="24">
        <f>+B36*8</f>
        <v>12000</v>
      </c>
    </row>
    <row r="41" spans="1:7">
      <c r="A41" s="35" t="s">
        <v>86</v>
      </c>
      <c r="B41" s="34"/>
    </row>
    <row r="42" spans="1:7">
      <c r="A42" s="35" t="s">
        <v>87</v>
      </c>
    </row>
    <row r="44" spans="1:7">
      <c r="A44" s="1" t="s">
        <v>299</v>
      </c>
    </row>
    <row r="45" spans="1:7">
      <c r="A45" s="1" t="s">
        <v>89</v>
      </c>
    </row>
    <row r="47" spans="1:7">
      <c r="A47" s="185" t="s">
        <v>90</v>
      </c>
      <c r="B47" s="186"/>
      <c r="C47" s="186"/>
      <c r="D47" s="186"/>
      <c r="E47" s="186"/>
      <c r="F47" s="186"/>
      <c r="G47" s="187"/>
    </row>
    <row r="48" spans="1:7">
      <c r="A48" s="1" t="s">
        <v>91</v>
      </c>
      <c r="B48" s="15">
        <v>300000</v>
      </c>
    </row>
    <row r="49" spans="1:2">
      <c r="A49" s="1" t="s">
        <v>92</v>
      </c>
      <c r="B49" s="15"/>
    </row>
    <row r="50" spans="1:2">
      <c r="A50" s="1" t="s">
        <v>93</v>
      </c>
      <c r="B50" s="15">
        <f>+B48*0.67</f>
        <v>201000</v>
      </c>
    </row>
    <row r="51" spans="1:2">
      <c r="A51" s="1" t="s">
        <v>94</v>
      </c>
      <c r="B51" s="24">
        <f>+B50/200*4</f>
        <v>4020</v>
      </c>
    </row>
    <row r="54" spans="1:2">
      <c r="A54" s="1" t="s">
        <v>296</v>
      </c>
    </row>
    <row r="55" spans="1:2">
      <c r="A55" s="1" t="s">
        <v>97</v>
      </c>
    </row>
    <row r="56" spans="1:2">
      <c r="A56" s="1" t="s">
        <v>98</v>
      </c>
    </row>
  </sheetData>
  <mergeCells count="1">
    <mergeCell ref="A3:G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&amp;L&amp;"-,Negrita"&amp;K00-044GUÍA DE TRABAJOS PRÁCTICOS.
UNIDAD V&amp;R&amp;"-,Negrita"&amp;K00-045Florencia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"/>
  <sheetViews>
    <sheetView view="pageLayout" topLeftCell="A108" workbookViewId="0">
      <selection activeCell="A22" sqref="A22"/>
    </sheetView>
  </sheetViews>
  <sheetFormatPr baseColWidth="10" defaultColWidth="11.5703125" defaultRowHeight="15"/>
  <cols>
    <col min="1" max="1" width="42.140625" style="1" customWidth="1"/>
    <col min="2" max="2" width="18.140625" style="1" bestFit="1" customWidth="1"/>
    <col min="3" max="3" width="18.5703125" style="1" customWidth="1"/>
    <col min="4" max="4" width="27" style="1" bestFit="1" customWidth="1"/>
    <col min="5" max="5" width="15.7109375" style="1" bestFit="1" customWidth="1"/>
    <col min="6" max="16384" width="11.5703125" style="1"/>
  </cols>
  <sheetData>
    <row r="1" spans="1:5" ht="15.75">
      <c r="A1" s="3" t="s">
        <v>2</v>
      </c>
      <c r="B1" s="3"/>
    </row>
    <row r="2" spans="1:5" ht="15.75" thickBot="1"/>
    <row r="3" spans="1:5">
      <c r="A3" s="198" t="s">
        <v>176</v>
      </c>
      <c r="B3" s="204"/>
      <c r="C3" s="199"/>
      <c r="D3" s="199"/>
      <c r="E3" s="200"/>
    </row>
    <row r="4" spans="1:5" ht="15.75" thickBot="1">
      <c r="A4" s="201"/>
      <c r="B4" s="202"/>
      <c r="C4" s="202"/>
      <c r="D4" s="202"/>
      <c r="E4" s="203"/>
    </row>
    <row r="5" spans="1:5">
      <c r="A5" s="111"/>
      <c r="B5" s="111"/>
      <c r="C5" s="111"/>
      <c r="D5" s="111"/>
      <c r="E5" s="111"/>
    </row>
    <row r="6" spans="1:5">
      <c r="A6" s="47" t="s">
        <v>77</v>
      </c>
      <c r="B6" s="47"/>
    </row>
    <row r="7" spans="1:5">
      <c r="A7" s="184" t="s">
        <v>5</v>
      </c>
      <c r="B7" s="184" t="s">
        <v>75</v>
      </c>
      <c r="C7" s="184" t="s">
        <v>6</v>
      </c>
      <c r="D7" s="184" t="s">
        <v>7</v>
      </c>
      <c r="E7" s="184" t="s">
        <v>8</v>
      </c>
    </row>
    <row r="8" spans="1:5">
      <c r="A8" s="4" t="s">
        <v>122</v>
      </c>
      <c r="B8" s="6"/>
      <c r="C8" s="6"/>
      <c r="D8" s="48"/>
      <c r="E8" s="89"/>
    </row>
    <row r="9" spans="1:5">
      <c r="A9" s="191" t="s">
        <v>389</v>
      </c>
      <c r="B9" s="29" t="s">
        <v>126</v>
      </c>
      <c r="C9" s="29" t="s">
        <v>18</v>
      </c>
      <c r="D9" s="9" t="s">
        <v>127</v>
      </c>
      <c r="E9" s="10">
        <f>+C35</f>
        <v>45913.043478260872</v>
      </c>
    </row>
    <row r="10" spans="1:5">
      <c r="A10" s="191" t="s">
        <v>390</v>
      </c>
      <c r="B10" s="29" t="s">
        <v>138</v>
      </c>
      <c r="C10" s="29" t="s">
        <v>19</v>
      </c>
      <c r="D10" s="9" t="s">
        <v>127</v>
      </c>
      <c r="E10" s="10">
        <f>+E55</f>
        <v>8148.1481481481469</v>
      </c>
    </row>
    <row r="11" spans="1:5">
      <c r="A11" s="191" t="s">
        <v>391</v>
      </c>
      <c r="B11" s="29" t="s">
        <v>167</v>
      </c>
      <c r="C11" s="29" t="s">
        <v>47</v>
      </c>
      <c r="D11" s="9" t="s">
        <v>127</v>
      </c>
      <c r="E11" s="10">
        <f>-C87</f>
        <v>44.116576476012099</v>
      </c>
    </row>
    <row r="12" spans="1:5">
      <c r="A12" s="191" t="s">
        <v>392</v>
      </c>
      <c r="B12" s="29" t="s">
        <v>168</v>
      </c>
      <c r="C12" s="29" t="s">
        <v>47</v>
      </c>
      <c r="D12" s="29" t="s">
        <v>127</v>
      </c>
      <c r="E12" s="10">
        <f>-C108</f>
        <v>92.893381881779845</v>
      </c>
    </row>
    <row r="13" spans="1:5">
      <c r="A13" s="194" t="s">
        <v>393</v>
      </c>
      <c r="B13" s="6"/>
      <c r="C13" s="5"/>
      <c r="D13" s="6"/>
      <c r="E13" s="7">
        <f>SUM(E9:E12)</f>
        <v>54198.201584766815</v>
      </c>
    </row>
    <row r="14" spans="1:5" ht="6" customHeight="1">
      <c r="A14" s="30"/>
      <c r="B14" s="31"/>
      <c r="C14" s="31"/>
      <c r="D14" s="31"/>
      <c r="E14" s="90"/>
    </row>
    <row r="15" spans="1:5">
      <c r="A15" s="194" t="s">
        <v>360</v>
      </c>
      <c r="B15" s="6"/>
      <c r="C15" s="53"/>
      <c r="D15" s="53"/>
      <c r="E15" s="7">
        <f>+E13</f>
        <v>54198.201584766815</v>
      </c>
    </row>
    <row r="16" spans="1:5" ht="6" customHeight="1">
      <c r="A16" s="94"/>
      <c r="B16" s="95"/>
      <c r="C16" s="95"/>
      <c r="D16" s="95"/>
      <c r="E16" s="96"/>
    </row>
    <row r="17" spans="1:5">
      <c r="A17" s="4" t="s">
        <v>99</v>
      </c>
      <c r="B17" s="6"/>
      <c r="C17" s="6"/>
      <c r="D17" s="48"/>
      <c r="E17" s="89"/>
    </row>
    <row r="18" spans="1:5">
      <c r="A18" s="193" t="s">
        <v>394</v>
      </c>
      <c r="B18" s="56"/>
      <c r="C18" s="56"/>
      <c r="D18" s="58" t="s">
        <v>125</v>
      </c>
      <c r="E18" s="59">
        <v>-10000</v>
      </c>
    </row>
    <row r="19" spans="1:5" ht="6" customHeight="1">
      <c r="A19" s="30"/>
      <c r="B19" s="31"/>
      <c r="C19" s="31"/>
      <c r="D19" s="31"/>
      <c r="E19" s="90"/>
    </row>
    <row r="20" spans="1:5">
      <c r="A20" s="4" t="s">
        <v>108</v>
      </c>
      <c r="B20" s="6"/>
      <c r="C20" s="55"/>
      <c r="D20" s="65"/>
      <c r="E20" s="7"/>
    </row>
    <row r="21" spans="1:5">
      <c r="A21" s="191" t="s">
        <v>354</v>
      </c>
      <c r="B21" s="8"/>
      <c r="C21" s="8"/>
      <c r="D21" s="50" t="s">
        <v>109</v>
      </c>
      <c r="E21" s="72">
        <v>-15552</v>
      </c>
    </row>
    <row r="22" spans="1:5">
      <c r="A22" s="191" t="s">
        <v>395</v>
      </c>
      <c r="B22" s="8"/>
      <c r="C22" s="8"/>
      <c r="D22" s="29" t="s">
        <v>124</v>
      </c>
      <c r="E22" s="10">
        <v>-17280</v>
      </c>
    </row>
    <row r="23" spans="1:5">
      <c r="A23" s="191" t="s">
        <v>396</v>
      </c>
      <c r="B23" s="8"/>
      <c r="C23" s="8"/>
      <c r="D23" s="9" t="s">
        <v>123</v>
      </c>
      <c r="E23" s="10">
        <v>-8640</v>
      </c>
    </row>
    <row r="24" spans="1:5">
      <c r="A24" s="194" t="s">
        <v>397</v>
      </c>
      <c r="B24" s="6"/>
      <c r="C24" s="6"/>
      <c r="D24" s="6"/>
      <c r="E24" s="93">
        <f>+SUM(E15:E23)</f>
        <v>2726.2015847668154</v>
      </c>
    </row>
    <row r="25" spans="1:5" ht="6" customHeight="1" thickBot="1">
      <c r="A25" s="69"/>
      <c r="B25" s="70"/>
      <c r="C25" s="70"/>
      <c r="D25" s="70"/>
      <c r="E25" s="74"/>
    </row>
    <row r="26" spans="1:5" ht="15.75" thickBot="1">
      <c r="A26" s="85" t="s">
        <v>111</v>
      </c>
      <c r="B26" s="97"/>
      <c r="C26" s="91" t="s">
        <v>49</v>
      </c>
      <c r="D26" s="91" t="s">
        <v>113</v>
      </c>
      <c r="E26" s="92">
        <f>+C122</f>
        <v>245.35814262901337</v>
      </c>
    </row>
    <row r="29" spans="1:5">
      <c r="A29" s="185" t="s">
        <v>128</v>
      </c>
      <c r="B29" s="186"/>
      <c r="C29" s="186"/>
      <c r="D29" s="186"/>
      <c r="E29" s="187"/>
    </row>
    <row r="30" spans="1:5">
      <c r="A30" s="56" t="s">
        <v>129</v>
      </c>
      <c r="B30" s="59">
        <v>220000</v>
      </c>
    </row>
    <row r="31" spans="1:5">
      <c r="A31" s="8" t="s">
        <v>130</v>
      </c>
      <c r="B31" s="98">
        <v>0.15</v>
      </c>
      <c r="C31" s="8" t="s">
        <v>133</v>
      </c>
    </row>
    <row r="32" spans="1:5">
      <c r="A32" s="209" t="s">
        <v>131</v>
      </c>
      <c r="B32" s="98">
        <v>0.02</v>
      </c>
      <c r="C32" s="8" t="s">
        <v>132</v>
      </c>
    </row>
    <row r="33" spans="1:5">
      <c r="A33" s="209"/>
      <c r="B33" s="98">
        <f>+B32*12</f>
        <v>0.24</v>
      </c>
      <c r="C33" s="8" t="s">
        <v>133</v>
      </c>
    </row>
    <row r="34" spans="1:5">
      <c r="A34" s="111"/>
      <c r="B34" s="112"/>
      <c r="C34" s="12"/>
    </row>
    <row r="35" spans="1:5">
      <c r="A35" s="12" t="s">
        <v>341</v>
      </c>
      <c r="B35" s="12"/>
      <c r="C35" s="11">
        <f>+(B30/(1+B31))*B33</f>
        <v>45913.043478260872</v>
      </c>
    </row>
    <row r="36" spans="1:5">
      <c r="A36" s="1" t="s">
        <v>134</v>
      </c>
      <c r="C36" s="15"/>
    </row>
    <row r="37" spans="1:5">
      <c r="A37" s="1" t="s">
        <v>135</v>
      </c>
    </row>
    <row r="38" spans="1:5">
      <c r="A38" s="1" t="s">
        <v>136</v>
      </c>
    </row>
    <row r="40" spans="1:5">
      <c r="A40" s="185" t="s">
        <v>137</v>
      </c>
      <c r="B40" s="186"/>
      <c r="C40" s="186"/>
      <c r="D40" s="186"/>
      <c r="E40" s="187"/>
    </row>
    <row r="41" spans="1:5">
      <c r="A41" s="56" t="s">
        <v>139</v>
      </c>
      <c r="B41" s="57">
        <v>4</v>
      </c>
    </row>
    <row r="42" spans="1:5">
      <c r="A42" s="8" t="s">
        <v>140</v>
      </c>
      <c r="B42" s="10">
        <v>55000</v>
      </c>
    </row>
    <row r="43" spans="1:5">
      <c r="A43" s="8" t="s">
        <v>155</v>
      </c>
      <c r="B43" s="10">
        <f>+B42*B41</f>
        <v>220000</v>
      </c>
    </row>
    <row r="44" spans="1:5">
      <c r="A44" s="8" t="s">
        <v>141</v>
      </c>
      <c r="B44" s="109">
        <v>41562</v>
      </c>
    </row>
    <row r="45" spans="1:5">
      <c r="A45" s="8" t="s">
        <v>131</v>
      </c>
      <c r="B45" s="98">
        <v>0.02</v>
      </c>
      <c r="C45" s="8" t="s">
        <v>132</v>
      </c>
    </row>
    <row r="46" spans="1:5">
      <c r="A46" s="1" t="s">
        <v>156</v>
      </c>
      <c r="B46" s="107" t="s">
        <v>157</v>
      </c>
      <c r="C46" s="105" t="s">
        <v>173</v>
      </c>
      <c r="D46" s="15">
        <f>+(B42*B41)/(1+(B45*B41))</f>
        <v>203703.70370370368</v>
      </c>
    </row>
    <row r="47" spans="1:5">
      <c r="B47" s="25" t="s">
        <v>158</v>
      </c>
      <c r="C47" s="35" t="s">
        <v>159</v>
      </c>
    </row>
    <row r="48" spans="1:5">
      <c r="A48" s="1" t="s">
        <v>166</v>
      </c>
      <c r="D48" s="1" t="s">
        <v>174</v>
      </c>
      <c r="E48" s="15">
        <f>+D46*(B45*B41)</f>
        <v>16296.296296296294</v>
      </c>
    </row>
    <row r="49" spans="1:5">
      <c r="A49" s="1" t="s">
        <v>160</v>
      </c>
      <c r="E49" s="43">
        <f>+E48/4</f>
        <v>4074.0740740740735</v>
      </c>
    </row>
    <row r="51" spans="1:5">
      <c r="A51" s="99" t="s">
        <v>142</v>
      </c>
      <c r="B51" s="99" t="s">
        <v>143</v>
      </c>
      <c r="C51" s="99" t="s">
        <v>144</v>
      </c>
      <c r="D51" s="99" t="s">
        <v>145</v>
      </c>
      <c r="E51" s="99" t="s">
        <v>146</v>
      </c>
    </row>
    <row r="52" spans="1:5">
      <c r="A52" s="29" t="s">
        <v>147</v>
      </c>
      <c r="B52" s="29"/>
      <c r="C52" s="72"/>
      <c r="D52" s="72">
        <f>+B43</f>
        <v>220000</v>
      </c>
      <c r="E52" s="72">
        <v>0</v>
      </c>
    </row>
    <row r="53" spans="1:5">
      <c r="A53" s="29" t="s">
        <v>148</v>
      </c>
      <c r="B53" s="50">
        <v>1</v>
      </c>
      <c r="C53" s="72">
        <f>+B42</f>
        <v>55000</v>
      </c>
      <c r="D53" s="72">
        <f>+D52-C53</f>
        <v>165000</v>
      </c>
      <c r="E53" s="72">
        <f>+$E$49</f>
        <v>4074.0740740740735</v>
      </c>
    </row>
    <row r="54" spans="1:5" ht="15.75" thickBot="1">
      <c r="A54" s="83" t="s">
        <v>149</v>
      </c>
      <c r="B54" s="82">
        <v>2</v>
      </c>
      <c r="C54" s="103">
        <f>+B42</f>
        <v>55000</v>
      </c>
      <c r="D54" s="103">
        <f>+D53-C54</f>
        <v>110000</v>
      </c>
      <c r="E54" s="72">
        <f>+$E$49</f>
        <v>4074.0740740740735</v>
      </c>
    </row>
    <row r="55" spans="1:5" ht="15.75" thickBot="1">
      <c r="A55" s="100" t="s">
        <v>150</v>
      </c>
      <c r="B55" s="86"/>
      <c r="C55" s="101"/>
      <c r="D55" s="101"/>
      <c r="E55" s="106">
        <f>SUM(E52:E54)</f>
        <v>8148.1481481481469</v>
      </c>
    </row>
    <row r="56" spans="1:5">
      <c r="A56" s="35"/>
      <c r="B56" s="36"/>
      <c r="C56" s="35"/>
      <c r="D56" s="35"/>
      <c r="E56" s="35"/>
    </row>
    <row r="57" spans="1:5">
      <c r="A57" s="99" t="s">
        <v>151</v>
      </c>
      <c r="B57" s="102" t="s">
        <v>143</v>
      </c>
      <c r="C57" s="99" t="s">
        <v>144</v>
      </c>
      <c r="D57" s="99" t="s">
        <v>145</v>
      </c>
      <c r="E57" s="99" t="s">
        <v>146</v>
      </c>
    </row>
    <row r="58" spans="1:5">
      <c r="A58" s="29" t="s">
        <v>152</v>
      </c>
      <c r="B58" s="50">
        <v>3</v>
      </c>
      <c r="C58" s="72">
        <f>+B42</f>
        <v>55000</v>
      </c>
      <c r="D58" s="72">
        <f>+D54-C58</f>
        <v>55000</v>
      </c>
      <c r="E58" s="72">
        <f>+E49</f>
        <v>4074.0740740740735</v>
      </c>
    </row>
    <row r="59" spans="1:5" ht="15.75" thickBot="1">
      <c r="A59" s="83" t="s">
        <v>153</v>
      </c>
      <c r="B59" s="82">
        <v>4</v>
      </c>
      <c r="C59" s="103">
        <f>+B42</f>
        <v>55000</v>
      </c>
      <c r="D59" s="103">
        <f>+D58-C59</f>
        <v>0</v>
      </c>
      <c r="E59" s="103">
        <f>+E49</f>
        <v>4074.0740740740735</v>
      </c>
    </row>
    <row r="60" spans="1:5" ht="15.75" thickBot="1">
      <c r="A60" s="100" t="s">
        <v>154</v>
      </c>
      <c r="B60" s="101"/>
      <c r="C60" s="101"/>
      <c r="D60" s="101"/>
      <c r="E60" s="104">
        <f>SUM(E58:E59)</f>
        <v>8148.1481481481469</v>
      </c>
    </row>
    <row r="62" spans="1:5">
      <c r="A62" s="1" t="s">
        <v>161</v>
      </c>
    </row>
    <row r="63" spans="1:5">
      <c r="A63" s="1" t="s">
        <v>162</v>
      </c>
    </row>
    <row r="64" spans="1:5">
      <c r="A64" s="1" t="s">
        <v>163</v>
      </c>
    </row>
    <row r="65" spans="1:5">
      <c r="A65" s="1" t="s">
        <v>164</v>
      </c>
    </row>
    <row r="66" spans="1:5">
      <c r="A66" s="1" t="s">
        <v>165</v>
      </c>
    </row>
    <row r="69" spans="1:5">
      <c r="A69" s="185" t="s">
        <v>169</v>
      </c>
      <c r="B69" s="186"/>
      <c r="C69" s="186"/>
      <c r="D69" s="186"/>
      <c r="E69" s="187"/>
    </row>
    <row r="70" spans="1:5">
      <c r="A70" s="1" t="s">
        <v>172</v>
      </c>
    </row>
    <row r="71" spans="1:5">
      <c r="A71" s="8" t="s">
        <v>170</v>
      </c>
      <c r="B71" s="50">
        <v>2</v>
      </c>
    </row>
    <row r="72" spans="1:5">
      <c r="A72" s="8" t="s">
        <v>171</v>
      </c>
      <c r="B72" s="10">
        <v>1000</v>
      </c>
    </row>
    <row r="73" spans="1:5">
      <c r="A73" s="8" t="s">
        <v>338</v>
      </c>
      <c r="B73" s="108">
        <v>1.4999999999999999E-2</v>
      </c>
    </row>
    <row r="74" spans="1:5">
      <c r="A74" s="8" t="s">
        <v>313</v>
      </c>
      <c r="B74" s="8" t="s">
        <v>339</v>
      </c>
    </row>
    <row r="75" spans="1:5">
      <c r="B75" s="107"/>
      <c r="C75" s="105"/>
      <c r="D75" s="15"/>
    </row>
    <row r="76" spans="1:5">
      <c r="A76" s="1" t="s">
        <v>340</v>
      </c>
      <c r="B76" s="167"/>
      <c r="C76" s="170"/>
      <c r="D76" s="15"/>
    </row>
    <row r="77" spans="1:5">
      <c r="A77" s="171" t="s">
        <v>315</v>
      </c>
      <c r="B77" s="172">
        <f>+B72*B71</f>
        <v>2000</v>
      </c>
      <c r="C77" s="169"/>
      <c r="D77" s="168"/>
    </row>
    <row r="78" spans="1:5">
      <c r="A78" s="171" t="s">
        <v>318</v>
      </c>
      <c r="B78" s="173">
        <f>+B73</f>
        <v>1.4999999999999999E-2</v>
      </c>
      <c r="C78" s="169"/>
      <c r="D78" s="168"/>
    </row>
    <row r="79" spans="1:5">
      <c r="A79" s="171" t="s">
        <v>317</v>
      </c>
      <c r="B79" s="171">
        <f>+B71</f>
        <v>2</v>
      </c>
      <c r="C79" s="169"/>
      <c r="D79" s="168"/>
    </row>
    <row r="80" spans="1:5">
      <c r="A80" s="171" t="s">
        <v>316</v>
      </c>
      <c r="B80" s="174">
        <f>B72</f>
        <v>1000</v>
      </c>
      <c r="C80" s="169"/>
      <c r="D80" s="168"/>
    </row>
    <row r="81" spans="1:5">
      <c r="A81" s="175" t="s">
        <v>305</v>
      </c>
      <c r="B81" s="176">
        <f>PV(B78,B79,-B80)</f>
        <v>1955.8834235239704</v>
      </c>
      <c r="C81" s="169" t="s">
        <v>320</v>
      </c>
      <c r="D81" s="168"/>
    </row>
    <row r="83" spans="1:5">
      <c r="A83" s="1" t="s">
        <v>314</v>
      </c>
      <c r="E83" s="24"/>
    </row>
    <row r="84" spans="1:5">
      <c r="A84" s="171"/>
      <c r="B84" s="178" t="s">
        <v>307</v>
      </c>
      <c r="C84" s="178" t="s">
        <v>308</v>
      </c>
      <c r="D84" s="178" t="s">
        <v>306</v>
      </c>
    </row>
    <row r="85" spans="1:5">
      <c r="A85" s="179">
        <v>1</v>
      </c>
      <c r="B85" s="172">
        <f>PPMT($B$78,$A85,$B$79,$B$81)</f>
        <v>-970.66174864714048</v>
      </c>
      <c r="C85" s="172">
        <f>IPMT($B$78,$A85,$B$79,$B$81)</f>
        <v>-29.338251352859555</v>
      </c>
      <c r="D85" s="172">
        <f>+B85+C85</f>
        <v>-1000</v>
      </c>
    </row>
    <row r="86" spans="1:5">
      <c r="A86" s="179">
        <v>2</v>
      </c>
      <c r="B86" s="172">
        <f>PPMT($B$78,$A86,$B$79,$B$81)</f>
        <v>-985.22167487684749</v>
      </c>
      <c r="C86" s="172">
        <f>IPMT($B$78,$A86,$B$79,$B$81)</f>
        <v>-14.778325123152541</v>
      </c>
      <c r="D86" s="172">
        <f>+B86+C86</f>
        <v>-1000</v>
      </c>
    </row>
    <row r="87" spans="1:5">
      <c r="A87" s="168"/>
      <c r="B87" s="180">
        <f>SUM(B85:B86)</f>
        <v>-1955.8834235239879</v>
      </c>
      <c r="C87" s="180">
        <f>SUM(C85:C86)</f>
        <v>-44.116576476012099</v>
      </c>
      <c r="D87" s="180">
        <f>SUM(D85:D86)</f>
        <v>-2000</v>
      </c>
    </row>
    <row r="88" spans="1:5">
      <c r="A88" s="181" t="s">
        <v>319</v>
      </c>
      <c r="B88" s="177" t="s">
        <v>309</v>
      </c>
      <c r="C88" s="177" t="s">
        <v>310</v>
      </c>
      <c r="D88" s="168"/>
    </row>
    <row r="90" spans="1:5">
      <c r="A90" s="1" t="s">
        <v>175</v>
      </c>
    </row>
    <row r="91" spans="1:5">
      <c r="A91" s="8" t="s">
        <v>170</v>
      </c>
      <c r="B91" s="50">
        <v>3</v>
      </c>
    </row>
    <row r="92" spans="1:5">
      <c r="A92" s="8" t="s">
        <v>171</v>
      </c>
      <c r="B92" s="10">
        <v>800</v>
      </c>
    </row>
    <row r="93" spans="1:5">
      <c r="A93" s="8" t="s">
        <v>300</v>
      </c>
      <c r="B93" s="110">
        <v>0.02</v>
      </c>
    </row>
    <row r="95" spans="1:5">
      <c r="A95" s="1" t="s">
        <v>340</v>
      </c>
      <c r="B95" s="167"/>
      <c r="C95" s="170"/>
      <c r="D95" s="15"/>
    </row>
    <row r="96" spans="1:5">
      <c r="A96" s="171" t="s">
        <v>315</v>
      </c>
      <c r="B96" s="172">
        <f>+B92*B91</f>
        <v>2400</v>
      </c>
      <c r="C96" s="169"/>
      <c r="D96" s="168"/>
    </row>
    <row r="97" spans="1:5">
      <c r="A97" s="171" t="s">
        <v>318</v>
      </c>
      <c r="B97" s="173">
        <f>+B93</f>
        <v>0.02</v>
      </c>
      <c r="C97" s="169"/>
      <c r="D97" s="168"/>
    </row>
    <row r="98" spans="1:5">
      <c r="A98" s="171" t="s">
        <v>317</v>
      </c>
      <c r="B98" s="171">
        <f>+B91</f>
        <v>3</v>
      </c>
      <c r="C98" s="169"/>
      <c r="D98" s="168"/>
    </row>
    <row r="99" spans="1:5">
      <c r="A99" s="171" t="s">
        <v>316</v>
      </c>
      <c r="B99" s="174">
        <f>+B92</f>
        <v>800</v>
      </c>
      <c r="C99" s="169"/>
      <c r="D99" s="168"/>
    </row>
    <row r="100" spans="1:5">
      <c r="A100" s="175" t="s">
        <v>305</v>
      </c>
      <c r="B100" s="176">
        <f>PV(B97,B98,-B99)</f>
        <v>2307.1066181182173</v>
      </c>
      <c r="C100" s="169" t="s">
        <v>320</v>
      </c>
      <c r="D100" s="168"/>
    </row>
    <row r="103" spans="1:5">
      <c r="A103" s="1" t="s">
        <v>314</v>
      </c>
      <c r="E103" s="24"/>
    </row>
    <row r="104" spans="1:5">
      <c r="A104" s="171"/>
      <c r="B104" s="178" t="s">
        <v>307</v>
      </c>
      <c r="C104" s="178" t="s">
        <v>308</v>
      </c>
      <c r="D104" s="178" t="s">
        <v>306</v>
      </c>
    </row>
    <row r="105" spans="1:5">
      <c r="A105" s="179">
        <v>1</v>
      </c>
      <c r="B105" s="172">
        <f>PPMT($B$97,$A105,$B$98,$B$100)</f>
        <v>-753.85786763763554</v>
      </c>
      <c r="C105" s="172">
        <f>IPMT($B$97,$A105,$B$98,$B$100)</f>
        <v>-46.142132362364343</v>
      </c>
      <c r="D105" s="172">
        <f>+B105+C105</f>
        <v>-799.99999999999989</v>
      </c>
    </row>
    <row r="106" spans="1:5">
      <c r="A106" s="179">
        <v>2</v>
      </c>
      <c r="B106" s="172">
        <f>PPMT($B$97,$A106,$B$98,$B$100)</f>
        <v>-768.93502499038823</v>
      </c>
      <c r="C106" s="172">
        <f t="shared" ref="C106:C107" si="0">IPMT($B$97,$A106,$B$98,$B$100)</f>
        <v>-31.064975009611626</v>
      </c>
      <c r="D106" s="172">
        <f t="shared" ref="D106:D107" si="1">+B106+C106</f>
        <v>-799.99999999999989</v>
      </c>
    </row>
    <row r="107" spans="1:5">
      <c r="A107" s="179">
        <v>3</v>
      </c>
      <c r="B107" s="172">
        <f>PPMT($B$97,$A107,$B$98,$B$100)</f>
        <v>-784.31372549019602</v>
      </c>
      <c r="C107" s="172">
        <f t="shared" si="0"/>
        <v>-15.686274509803875</v>
      </c>
      <c r="D107" s="172">
        <f t="shared" si="1"/>
        <v>-799.99999999999989</v>
      </c>
    </row>
    <row r="108" spans="1:5">
      <c r="A108" s="168"/>
      <c r="B108" s="182">
        <f>SUM(B105:B107)</f>
        <v>-2307.1066181182196</v>
      </c>
      <c r="C108" s="182">
        <f>SUM(C105:C107)</f>
        <v>-92.893381881779845</v>
      </c>
      <c r="D108" s="182">
        <f>SUM(D105:D107)</f>
        <v>-2399.9999999999995</v>
      </c>
    </row>
    <row r="109" spans="1:5">
      <c r="A109" s="181" t="s">
        <v>319</v>
      </c>
      <c r="B109" s="177" t="s">
        <v>309</v>
      </c>
      <c r="C109" s="177" t="s">
        <v>310</v>
      </c>
      <c r="D109" s="168"/>
    </row>
    <row r="111" spans="1:5">
      <c r="A111" s="1" t="s">
        <v>177</v>
      </c>
    </row>
    <row r="112" spans="1:5">
      <c r="A112" s="1" t="s">
        <v>178</v>
      </c>
    </row>
    <row r="113" spans="1:5">
      <c r="A113" s="1" t="s">
        <v>179</v>
      </c>
    </row>
    <row r="115" spans="1:5">
      <c r="A115" s="185" t="s">
        <v>342</v>
      </c>
      <c r="B115" s="186"/>
      <c r="C115" s="186"/>
      <c r="D115" s="186"/>
      <c r="E115" s="187"/>
    </row>
    <row r="116" spans="1:5">
      <c r="A116" s="1" t="s">
        <v>115</v>
      </c>
      <c r="C116" s="15">
        <f>+E24</f>
        <v>2726.2015847668154</v>
      </c>
    </row>
    <row r="117" spans="1:5">
      <c r="A117" s="1" t="s">
        <v>116</v>
      </c>
    </row>
    <row r="118" spans="1:5">
      <c r="A118" s="1" t="s">
        <v>117</v>
      </c>
      <c r="C118" s="24">
        <v>0</v>
      </c>
    </row>
    <row r="119" spans="1:5">
      <c r="A119" s="75" t="s">
        <v>118</v>
      </c>
    </row>
    <row r="120" spans="1:5">
      <c r="A120" s="1" t="s">
        <v>119</v>
      </c>
      <c r="C120" s="76">
        <v>0.09</v>
      </c>
    </row>
    <row r="121" spans="1:5">
      <c r="A121" s="16" t="s">
        <v>321</v>
      </c>
      <c r="B121" s="16"/>
      <c r="C121" s="23">
        <f>+C116</f>
        <v>2726.2015847668154</v>
      </c>
    </row>
    <row r="122" spans="1:5">
      <c r="A122" s="2" t="s">
        <v>120</v>
      </c>
      <c r="C122" s="24">
        <f>+C121*C120</f>
        <v>245.35814262901337</v>
      </c>
    </row>
    <row r="123" spans="1:5">
      <c r="B123" s="2"/>
      <c r="C123" s="24"/>
    </row>
    <row r="125" spans="1:5">
      <c r="A125" s="1" t="s">
        <v>296</v>
      </c>
    </row>
    <row r="126" spans="1:5">
      <c r="A126" s="1" t="s">
        <v>180</v>
      </c>
    </row>
    <row r="127" spans="1:5">
      <c r="A127" s="1" t="s">
        <v>181</v>
      </c>
    </row>
    <row r="128" spans="1:5">
      <c r="A128" s="168"/>
      <c r="B128" s="168"/>
      <c r="C128" s="168"/>
      <c r="D128" s="168"/>
    </row>
    <row r="129" spans="1:4">
      <c r="A129" s="168"/>
      <c r="B129" s="168"/>
      <c r="C129" s="168"/>
      <c r="D129" s="168"/>
    </row>
    <row r="130" spans="1:4">
      <c r="A130"/>
      <c r="B130"/>
      <c r="C130"/>
      <c r="D130"/>
    </row>
    <row r="131" spans="1:4">
      <c r="A131"/>
      <c r="B131"/>
      <c r="C131"/>
      <c r="D131"/>
    </row>
  </sheetData>
  <mergeCells count="2">
    <mergeCell ref="A3:E4"/>
    <mergeCell ref="A32:A33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&amp;L&amp;"-,Negrita"&amp;K00-041GUÍA DE TRABAJOS PRÁCTICOS.
UNIDAD V&amp;R&amp;"-,Negrita"&amp;K00-042Florencia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Layout" workbookViewId="0">
      <selection activeCell="A14" sqref="A14"/>
    </sheetView>
  </sheetViews>
  <sheetFormatPr baseColWidth="10" defaultColWidth="11.5703125" defaultRowHeight="15"/>
  <cols>
    <col min="1" max="1" width="8.42578125" style="1" customWidth="1"/>
    <col min="2" max="2" width="14.5703125" style="1" customWidth="1"/>
    <col min="3" max="3" width="12.140625" style="1" customWidth="1"/>
    <col min="4" max="4" width="22" style="1" customWidth="1"/>
    <col min="5" max="5" width="21.28515625" style="1" customWidth="1"/>
    <col min="6" max="6" width="13.85546875" style="1" customWidth="1"/>
    <col min="7" max="7" width="13" style="1" customWidth="1"/>
    <col min="8" max="8" width="14.5703125" style="1" bestFit="1" customWidth="1"/>
    <col min="9" max="16384" width="11.5703125" style="1"/>
  </cols>
  <sheetData>
    <row r="1" spans="1:9" ht="15.75">
      <c r="A1" s="3" t="s">
        <v>3</v>
      </c>
    </row>
    <row r="2" spans="1:9" ht="15.75" thickBot="1"/>
    <row r="3" spans="1:9">
      <c r="A3" s="198" t="s">
        <v>332</v>
      </c>
      <c r="B3" s="204"/>
      <c r="C3" s="204"/>
      <c r="D3" s="204"/>
      <c r="E3" s="204"/>
      <c r="F3" s="204"/>
      <c r="G3" s="204"/>
      <c r="H3" s="204"/>
      <c r="I3" s="205"/>
    </row>
    <row r="4" spans="1:9" ht="15.75" thickBot="1">
      <c r="A4" s="206"/>
      <c r="B4" s="207"/>
      <c r="C4" s="207"/>
      <c r="D4" s="207"/>
      <c r="E4" s="207"/>
      <c r="F4" s="207"/>
      <c r="G4" s="207"/>
      <c r="H4" s="207"/>
      <c r="I4" s="208"/>
    </row>
    <row r="5" spans="1:9">
      <c r="A5" s="1" t="s">
        <v>333</v>
      </c>
    </row>
    <row r="6" spans="1:9">
      <c r="A6" s="1" t="s">
        <v>334</v>
      </c>
    </row>
    <row r="7" spans="1:9">
      <c r="A7" s="1" t="s">
        <v>331</v>
      </c>
    </row>
    <row r="8" spans="1:9">
      <c r="A8" s="1" t="s">
        <v>398</v>
      </c>
    </row>
    <row r="9" spans="1:9">
      <c r="A9" s="1" t="s">
        <v>407</v>
      </c>
    </row>
    <row r="10" spans="1:9">
      <c r="A10" s="1" t="s">
        <v>399</v>
      </c>
    </row>
    <row r="11" spans="1:9">
      <c r="A11" s="1" t="s">
        <v>400</v>
      </c>
    </row>
    <row r="12" spans="1:9">
      <c r="A12" s="1" t="s">
        <v>401</v>
      </c>
    </row>
    <row r="13" spans="1:9">
      <c r="A13" s="1" t="s">
        <v>408</v>
      </c>
    </row>
    <row r="14" spans="1:9">
      <c r="A14" s="1" t="s">
        <v>327</v>
      </c>
    </row>
    <row r="15" spans="1:9">
      <c r="A15" s="1" t="s">
        <v>328</v>
      </c>
    </row>
    <row r="16" spans="1:9">
      <c r="A16" s="1" t="s">
        <v>329</v>
      </c>
    </row>
    <row r="17" spans="1:8">
      <c r="A17" s="1" t="s">
        <v>326</v>
      </c>
    </row>
    <row r="18" spans="1:8">
      <c r="A18" s="1" t="s">
        <v>204</v>
      </c>
    </row>
    <row r="19" spans="1:8">
      <c r="A19" s="2" t="s">
        <v>226</v>
      </c>
    </row>
    <row r="20" spans="1:8">
      <c r="A20" s="183" t="s">
        <v>330</v>
      </c>
    </row>
    <row r="21" spans="1:8">
      <c r="A21" s="1" t="s">
        <v>205</v>
      </c>
      <c r="B21" s="8" t="s">
        <v>182</v>
      </c>
      <c r="C21" s="8" t="s">
        <v>206</v>
      </c>
      <c r="D21" s="8" t="s">
        <v>207</v>
      </c>
    </row>
    <row r="22" spans="1:8">
      <c r="B22" s="116" t="s">
        <v>208</v>
      </c>
      <c r="C22" s="10">
        <v>10500</v>
      </c>
      <c r="D22" s="10">
        <f>+C22</f>
        <v>10500</v>
      </c>
    </row>
    <row r="23" spans="1:8">
      <c r="B23" s="116" t="s">
        <v>209</v>
      </c>
      <c r="C23" s="10">
        <v>210000</v>
      </c>
      <c r="D23" s="10">
        <v>12500</v>
      </c>
    </row>
    <row r="24" spans="1:8" ht="14.25" customHeight="1">
      <c r="B24" s="116" t="s">
        <v>210</v>
      </c>
      <c r="C24" s="10">
        <v>260000</v>
      </c>
      <c r="D24" s="10">
        <v>12500</v>
      </c>
    </row>
    <row r="25" spans="1:8">
      <c r="C25" s="1">
        <f>SUM(C22:C24)</f>
        <v>480500</v>
      </c>
      <c r="D25" s="24">
        <f>SUM(D22:D24)</f>
        <v>35500</v>
      </c>
      <c r="E25" s="2" t="s">
        <v>211</v>
      </c>
    </row>
    <row r="26" spans="1:8">
      <c r="A26" s="1" t="s">
        <v>212</v>
      </c>
      <c r="B26" s="118" t="s">
        <v>213</v>
      </c>
      <c r="C26" s="213" t="s">
        <v>214</v>
      </c>
      <c r="D26" s="213"/>
    </row>
    <row r="27" spans="1:8">
      <c r="B27" s="2"/>
      <c r="C27" s="214">
        <v>0.91249999999999998</v>
      </c>
      <c r="D27" s="214"/>
    </row>
    <row r="28" spans="1:8">
      <c r="A28" s="1" t="s">
        <v>217</v>
      </c>
      <c r="B28" s="15">
        <v>800000</v>
      </c>
      <c r="C28" s="1" t="s">
        <v>402</v>
      </c>
      <c r="F28" s="2" t="s">
        <v>404</v>
      </c>
    </row>
    <row r="29" spans="1:8">
      <c r="C29" s="1" t="s">
        <v>403</v>
      </c>
      <c r="F29" s="1" t="s">
        <v>219</v>
      </c>
    </row>
    <row r="30" spans="1:8">
      <c r="A30" s="1" t="s">
        <v>216</v>
      </c>
      <c r="B30" s="1" t="s">
        <v>215</v>
      </c>
      <c r="D30" s="15">
        <v>800000</v>
      </c>
      <c r="F30" s="14" t="s">
        <v>220</v>
      </c>
    </row>
    <row r="31" spans="1:8">
      <c r="B31" s="12" t="s">
        <v>323</v>
      </c>
      <c r="C31" s="12"/>
      <c r="D31" s="46">
        <v>-480000</v>
      </c>
      <c r="E31" s="1" t="s">
        <v>302</v>
      </c>
      <c r="F31" s="14" t="s">
        <v>221</v>
      </c>
    </row>
    <row r="32" spans="1:8">
      <c r="B32" s="16" t="s">
        <v>218</v>
      </c>
      <c r="C32" s="16"/>
      <c r="D32" s="23">
        <v>-50000</v>
      </c>
      <c r="E32" s="1" t="s">
        <v>301</v>
      </c>
      <c r="F32" s="117" t="s">
        <v>222</v>
      </c>
      <c r="G32" s="16"/>
      <c r="H32" s="16"/>
    </row>
    <row r="33" spans="1:6">
      <c r="B33" s="12"/>
      <c r="C33" s="12"/>
      <c r="D33" s="46">
        <f>SUM(D30:D32)</f>
        <v>270000</v>
      </c>
      <c r="F33" s="1" t="s">
        <v>223</v>
      </c>
    </row>
    <row r="34" spans="1:6">
      <c r="B34" s="22" t="s">
        <v>224</v>
      </c>
      <c r="C34" s="215" t="s">
        <v>325</v>
      </c>
      <c r="D34" s="215"/>
    </row>
    <row r="35" spans="1:6">
      <c r="C35" s="216">
        <v>0.91249999999999998</v>
      </c>
      <c r="D35" s="216"/>
    </row>
    <row r="36" spans="1:6">
      <c r="B36" s="118" t="s">
        <v>213</v>
      </c>
      <c r="C36" s="217">
        <f>+(0.25*B28-0.0875*D33)/0.9125</f>
        <v>193287.67123287672</v>
      </c>
      <c r="D36" s="217"/>
      <c r="E36" s="2" t="s">
        <v>225</v>
      </c>
    </row>
    <row r="38" spans="1:6">
      <c r="A38" s="1" t="s">
        <v>335</v>
      </c>
    </row>
    <row r="39" spans="1:6">
      <c r="A39" s="1" t="s">
        <v>227</v>
      </c>
    </row>
    <row r="40" spans="1:6">
      <c r="A40" s="2" t="s">
        <v>228</v>
      </c>
    </row>
    <row r="41" spans="1:6">
      <c r="A41" s="1" t="s">
        <v>233</v>
      </c>
    </row>
    <row r="42" spans="1:6">
      <c r="A42" s="1" t="s">
        <v>229</v>
      </c>
    </row>
    <row r="43" spans="1:6">
      <c r="A43" s="1" t="s">
        <v>230</v>
      </c>
    </row>
    <row r="45" spans="1:6">
      <c r="B45" s="1" t="s">
        <v>215</v>
      </c>
      <c r="D45" s="15">
        <v>800000</v>
      </c>
    </row>
    <row r="46" spans="1:6">
      <c r="B46" s="12" t="s">
        <v>323</v>
      </c>
      <c r="C46" s="12"/>
      <c r="D46" s="46">
        <v>-480000</v>
      </c>
    </row>
    <row r="47" spans="1:6">
      <c r="B47" s="12" t="s">
        <v>218</v>
      </c>
      <c r="C47" s="12"/>
      <c r="D47" s="46">
        <v>-50000</v>
      </c>
    </row>
    <row r="48" spans="1:6">
      <c r="B48" s="16" t="s">
        <v>303</v>
      </c>
      <c r="C48" s="16"/>
      <c r="D48" s="16">
        <f>-C36</f>
        <v>-193287.67123287672</v>
      </c>
    </row>
    <row r="49" spans="2:6">
      <c r="B49" s="12" t="s">
        <v>231</v>
      </c>
      <c r="C49" s="12"/>
      <c r="D49" s="46">
        <f>SUM(D45:D47)</f>
        <v>270000</v>
      </c>
    </row>
    <row r="50" spans="2:6">
      <c r="B50" s="1" t="s">
        <v>232</v>
      </c>
      <c r="D50" s="1">
        <f>+D49*35%</f>
        <v>94500</v>
      </c>
    </row>
    <row r="52" spans="2:6">
      <c r="B52" s="1" t="s">
        <v>336</v>
      </c>
      <c r="F52" s="1">
        <f>+C25-C36</f>
        <v>287212.32876712328</v>
      </c>
    </row>
    <row r="54" spans="2:6">
      <c r="B54" s="25" t="s">
        <v>236</v>
      </c>
      <c r="C54" s="218" t="s">
        <v>243</v>
      </c>
      <c r="D54" s="25" t="s">
        <v>239</v>
      </c>
    </row>
    <row r="55" spans="2:6">
      <c r="B55" s="25" t="s">
        <v>237</v>
      </c>
      <c r="C55" s="218"/>
      <c r="D55" s="25" t="s">
        <v>240</v>
      </c>
    </row>
    <row r="56" spans="2:6">
      <c r="B56" s="25"/>
      <c r="C56" s="25"/>
      <c r="D56" s="25" t="s">
        <v>241</v>
      </c>
    </row>
    <row r="58" spans="2:6">
      <c r="B58" s="15">
        <f>+D50</f>
        <v>94500</v>
      </c>
      <c r="C58" s="35" t="str">
        <f>+C54</f>
        <v>&lt; / &gt;</v>
      </c>
      <c r="D58" s="1" t="s">
        <v>324</v>
      </c>
    </row>
    <row r="59" spans="2:6">
      <c r="B59" s="15">
        <f>+B58</f>
        <v>94500</v>
      </c>
      <c r="C59" s="122" t="s">
        <v>238</v>
      </c>
      <c r="D59" s="15">
        <f>+F52*0.35</f>
        <v>100524.31506849315</v>
      </c>
    </row>
    <row r="60" spans="2:6">
      <c r="B60" s="15"/>
      <c r="C60" s="122"/>
      <c r="D60" s="15"/>
    </row>
    <row r="61" spans="2:6">
      <c r="B61" s="1" t="s">
        <v>242</v>
      </c>
    </row>
    <row r="66" spans="1:8" ht="15.75" thickBot="1"/>
    <row r="67" spans="1:8">
      <c r="A67" s="210" t="s">
        <v>182</v>
      </c>
      <c r="B67" s="113" t="s">
        <v>183</v>
      </c>
      <c r="C67" s="210" t="s">
        <v>186</v>
      </c>
      <c r="D67" s="113" t="s">
        <v>235</v>
      </c>
      <c r="E67" s="113" t="s">
        <v>197</v>
      </c>
      <c r="F67" s="113" t="s">
        <v>199</v>
      </c>
      <c r="G67" s="123" t="s">
        <v>190</v>
      </c>
      <c r="H67" s="127" t="s">
        <v>194</v>
      </c>
    </row>
    <row r="68" spans="1:8">
      <c r="A68" s="211"/>
      <c r="B68" s="114" t="s">
        <v>184</v>
      </c>
      <c r="C68" s="211"/>
      <c r="D68" s="114" t="s">
        <v>234</v>
      </c>
      <c r="E68" s="114" t="s">
        <v>198</v>
      </c>
      <c r="F68" s="114" t="s">
        <v>191</v>
      </c>
      <c r="G68" s="124" t="s">
        <v>191</v>
      </c>
      <c r="H68" s="128" t="s">
        <v>195</v>
      </c>
    </row>
    <row r="69" spans="1:8">
      <c r="A69" s="211"/>
      <c r="B69" s="114" t="s">
        <v>185</v>
      </c>
      <c r="C69" s="211"/>
      <c r="D69" s="121" t="s">
        <v>187</v>
      </c>
      <c r="E69" s="114" t="s">
        <v>189</v>
      </c>
      <c r="F69" s="114" t="s">
        <v>187</v>
      </c>
      <c r="G69" s="124" t="s">
        <v>187</v>
      </c>
      <c r="H69" s="128" t="s">
        <v>187</v>
      </c>
    </row>
    <row r="70" spans="1:8">
      <c r="A70" s="212"/>
      <c r="B70" s="115"/>
      <c r="C70" s="212"/>
      <c r="D70" s="115" t="s">
        <v>188</v>
      </c>
      <c r="E70" s="115"/>
      <c r="F70" s="115" t="s">
        <v>192</v>
      </c>
      <c r="G70" s="125" t="s">
        <v>193</v>
      </c>
      <c r="H70" s="129" t="s">
        <v>196</v>
      </c>
    </row>
    <row r="71" spans="1:8">
      <c r="A71" s="8" t="s">
        <v>244</v>
      </c>
      <c r="B71" s="10">
        <v>10500</v>
      </c>
      <c r="C71" s="120">
        <f>+B71/$B$74</f>
        <v>2.1852237252861603E-2</v>
      </c>
      <c r="D71" s="10">
        <f>+$D$74*C71</f>
        <v>4223.768049833935</v>
      </c>
      <c r="E71" s="10">
        <f>+B71-D71</f>
        <v>6276.231950166065</v>
      </c>
      <c r="F71" s="10">
        <f>+$F$74*C71</f>
        <v>5900.1040582726328</v>
      </c>
      <c r="G71" s="126">
        <f>+E71-F71</f>
        <v>376.12789189343221</v>
      </c>
      <c r="H71" s="133">
        <f>+D71+G71</f>
        <v>4599.8959417273672</v>
      </c>
    </row>
    <row r="72" spans="1:8">
      <c r="A72" s="8" t="s">
        <v>245</v>
      </c>
      <c r="B72" s="10">
        <f>+C23</f>
        <v>210000</v>
      </c>
      <c r="C72" s="120">
        <f>+B72/$B$74</f>
        <v>0.43704474505723206</v>
      </c>
      <c r="D72" s="10">
        <f>+$D$74*C72</f>
        <v>84475.36099667869</v>
      </c>
      <c r="E72" s="10">
        <f t="shared" ref="E72:E73" si="0">+B72-D72</f>
        <v>125524.63900332131</v>
      </c>
      <c r="F72" s="10">
        <f>+$F$74*C72</f>
        <v>118002.08116545266</v>
      </c>
      <c r="G72" s="126">
        <f t="shared" ref="G72:G73" si="1">+E72-F72</f>
        <v>7522.5578378686478</v>
      </c>
      <c r="H72" s="133">
        <f t="shared" ref="H72:H73" si="2">+D72+G72</f>
        <v>91997.918834547338</v>
      </c>
    </row>
    <row r="73" spans="1:8">
      <c r="A73" s="8" t="s">
        <v>246</v>
      </c>
      <c r="B73" s="10">
        <f>+C24</f>
        <v>260000</v>
      </c>
      <c r="C73" s="120">
        <f>+B73/$B$74</f>
        <v>0.54110301768990632</v>
      </c>
      <c r="D73" s="10">
        <f>+$D$74*C73</f>
        <v>104588.54218636408</v>
      </c>
      <c r="E73" s="10">
        <f t="shared" si="0"/>
        <v>155411.45781363593</v>
      </c>
      <c r="F73" s="10">
        <f>+$F$74*C73</f>
        <v>146097.8147762747</v>
      </c>
      <c r="G73" s="126">
        <f t="shared" si="1"/>
        <v>9313.6430373612384</v>
      </c>
      <c r="H73" s="133">
        <f t="shared" si="2"/>
        <v>113902.18522372532</v>
      </c>
    </row>
    <row r="74" spans="1:8">
      <c r="B74" s="24">
        <f>SUM(B71:B73)</f>
        <v>480500</v>
      </c>
      <c r="C74" s="119">
        <f>+B74/$B$74</f>
        <v>1</v>
      </c>
      <c r="D74" s="24">
        <f>+C36</f>
        <v>193287.67123287672</v>
      </c>
      <c r="E74" s="24">
        <f>SUM(E71:E73)</f>
        <v>287212.32876712328</v>
      </c>
      <c r="F74" s="24">
        <f>+D49</f>
        <v>270000</v>
      </c>
      <c r="G74" s="24">
        <f>SUM(G71:G73)</f>
        <v>17212.328767123319</v>
      </c>
      <c r="H74" s="130">
        <f>SUM(H71:H73)</f>
        <v>210500.00000000003</v>
      </c>
    </row>
    <row r="75" spans="1:8">
      <c r="B75" s="2"/>
      <c r="C75" s="2"/>
      <c r="D75" s="25" t="s">
        <v>201</v>
      </c>
      <c r="E75" s="25"/>
      <c r="F75" s="25" t="s">
        <v>200</v>
      </c>
      <c r="G75" s="25"/>
      <c r="H75" s="131" t="s">
        <v>202</v>
      </c>
    </row>
    <row r="76" spans="1:8" ht="15.75" thickBot="1">
      <c r="B76" s="2"/>
      <c r="C76" s="2"/>
      <c r="D76" s="25"/>
      <c r="E76" s="25"/>
      <c r="F76" s="25"/>
      <c r="G76" s="25"/>
      <c r="H76" s="132" t="s">
        <v>203</v>
      </c>
    </row>
    <row r="79" spans="1:8">
      <c r="A79" s="1" t="s">
        <v>296</v>
      </c>
    </row>
    <row r="80" spans="1:8">
      <c r="A80" s="1" t="s">
        <v>247</v>
      </c>
    </row>
    <row r="81" spans="1:1">
      <c r="A81" s="1" t="s">
        <v>248</v>
      </c>
    </row>
    <row r="83" spans="1:1">
      <c r="A83" s="1" t="s">
        <v>405</v>
      </c>
    </row>
    <row r="84" spans="1:1">
      <c r="A84" s="1" t="s">
        <v>406</v>
      </c>
    </row>
  </sheetData>
  <mergeCells count="9">
    <mergeCell ref="A3:I4"/>
    <mergeCell ref="C67:C70"/>
    <mergeCell ref="A67:A70"/>
    <mergeCell ref="C26:D26"/>
    <mergeCell ref="C27:D27"/>
    <mergeCell ref="C34:D34"/>
    <mergeCell ref="C35:D35"/>
    <mergeCell ref="C36:D36"/>
    <mergeCell ref="C54:C55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&amp;L&amp;"-,Negrita"&amp;K00-045GUÍA DE TRABAJOS PRÁCTICOS.
UNIDAD V&amp;R&amp;"-,Negrita"&amp;K00-046Florencia I. Taier</oddHeader>
    <oddFooter>&amp;L&amp;G &amp;C&amp;"-,Negrita"&amp;K00-046UCC. FACEA. 
IMPUESTOS I. Cát. "B"&amp;R&amp;"-,Negrita"&amp;K00-046Página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"/>
  <sheetViews>
    <sheetView view="pageLayout" topLeftCell="A99" workbookViewId="0">
      <selection activeCell="A114" sqref="A114"/>
    </sheetView>
  </sheetViews>
  <sheetFormatPr baseColWidth="10" defaultColWidth="11.5703125" defaultRowHeight="15"/>
  <cols>
    <col min="1" max="1" width="44.85546875" style="1" customWidth="1"/>
    <col min="2" max="3" width="12.42578125" style="1" bestFit="1" customWidth="1"/>
    <col min="4" max="4" width="23.42578125" style="1" bestFit="1" customWidth="1"/>
    <col min="5" max="5" width="25.85546875" style="1" customWidth="1"/>
    <col min="6" max="16384" width="11.5703125" style="1"/>
  </cols>
  <sheetData>
    <row r="1" spans="1:6" ht="15.75">
      <c r="A1" s="3" t="s">
        <v>4</v>
      </c>
    </row>
    <row r="2" spans="1:6" ht="15.75" thickBot="1"/>
    <row r="3" spans="1:6">
      <c r="A3" s="198" t="s">
        <v>295</v>
      </c>
      <c r="B3" s="204"/>
      <c r="C3" s="204"/>
      <c r="D3" s="204"/>
      <c r="E3" s="204"/>
      <c r="F3" s="205"/>
    </row>
    <row r="4" spans="1:6" ht="15.75" thickBot="1">
      <c r="A4" s="206"/>
      <c r="B4" s="207"/>
      <c r="C4" s="207"/>
      <c r="D4" s="207"/>
      <c r="E4" s="207"/>
      <c r="F4" s="208"/>
    </row>
    <row r="6" spans="1:6">
      <c r="A6" s="113" t="s">
        <v>5</v>
      </c>
      <c r="B6" s="113" t="s">
        <v>75</v>
      </c>
      <c r="C6" s="113" t="s">
        <v>6</v>
      </c>
      <c r="D6" s="113" t="s">
        <v>7</v>
      </c>
      <c r="E6" s="113" t="s">
        <v>8</v>
      </c>
    </row>
    <row r="7" spans="1:6">
      <c r="A7" s="134" t="s">
        <v>249</v>
      </c>
      <c r="B7" s="135"/>
      <c r="C7" s="136"/>
      <c r="D7" s="137"/>
      <c r="E7" s="138"/>
    </row>
    <row r="8" spans="1:6">
      <c r="A8" s="4" t="s">
        <v>250</v>
      </c>
      <c r="B8" s="5"/>
      <c r="C8" s="6"/>
      <c r="D8" s="48"/>
      <c r="E8" s="7"/>
    </row>
    <row r="9" spans="1:6">
      <c r="A9" s="193" t="s">
        <v>364</v>
      </c>
      <c r="B9" s="139">
        <v>3</v>
      </c>
      <c r="C9" s="56"/>
      <c r="D9" s="140" t="s">
        <v>272</v>
      </c>
      <c r="E9" s="59">
        <f>35000*12</f>
        <v>420000</v>
      </c>
    </row>
    <row r="10" spans="1:6">
      <c r="A10" s="193" t="s">
        <v>365</v>
      </c>
      <c r="B10" s="139">
        <v>4</v>
      </c>
      <c r="C10" s="56"/>
      <c r="D10" s="140" t="s">
        <v>251</v>
      </c>
      <c r="E10" s="59">
        <v>20000</v>
      </c>
    </row>
    <row r="11" spans="1:6">
      <c r="A11" s="196" t="s">
        <v>366</v>
      </c>
      <c r="B11" s="159">
        <v>5</v>
      </c>
      <c r="C11" s="160" t="s">
        <v>18</v>
      </c>
      <c r="D11" s="161" t="s">
        <v>276</v>
      </c>
      <c r="E11" s="162">
        <f>+D58</f>
        <v>6000</v>
      </c>
    </row>
    <row r="12" spans="1:6">
      <c r="A12" s="4" t="s">
        <v>252</v>
      </c>
      <c r="B12" s="5"/>
      <c r="C12" s="145"/>
      <c r="D12" s="48"/>
      <c r="E12" s="7">
        <f>SUM(E9:E11)</f>
        <v>446000</v>
      </c>
    </row>
    <row r="13" spans="1:6" ht="3.75" customHeight="1">
      <c r="A13" s="154"/>
      <c r="B13" s="155"/>
      <c r="C13" s="163"/>
      <c r="D13" s="155"/>
      <c r="E13" s="156"/>
    </row>
    <row r="14" spans="1:6">
      <c r="A14" s="191" t="s">
        <v>344</v>
      </c>
      <c r="B14" s="143">
        <v>4</v>
      </c>
      <c r="C14" s="29"/>
      <c r="D14" s="9" t="s">
        <v>304</v>
      </c>
      <c r="E14" s="10">
        <f>-250*12</f>
        <v>-3000</v>
      </c>
    </row>
    <row r="15" spans="1:6">
      <c r="A15" s="191" t="s">
        <v>345</v>
      </c>
      <c r="B15" s="143">
        <v>2</v>
      </c>
      <c r="C15" s="29" t="s">
        <v>19</v>
      </c>
      <c r="D15" s="9" t="s">
        <v>253</v>
      </c>
      <c r="E15" s="10">
        <f>-D61</f>
        <v>-4000</v>
      </c>
    </row>
    <row r="16" spans="1:6">
      <c r="A16" s="192" t="s">
        <v>346</v>
      </c>
      <c r="B16" s="157">
        <v>2</v>
      </c>
      <c r="C16" s="83" t="s">
        <v>47</v>
      </c>
      <c r="D16" s="158" t="s">
        <v>254</v>
      </c>
      <c r="E16" s="84">
        <f>-E69</f>
        <v>-7200</v>
      </c>
    </row>
    <row r="17" spans="1:5">
      <c r="A17" s="4" t="s">
        <v>255</v>
      </c>
      <c r="B17" s="5"/>
      <c r="C17" s="145"/>
      <c r="D17" s="48"/>
      <c r="E17" s="7">
        <f>SUM(E12:E16)</f>
        <v>431800</v>
      </c>
    </row>
    <row r="18" spans="1:5" ht="3.75" customHeight="1">
      <c r="A18" s="154"/>
      <c r="B18" s="155"/>
      <c r="C18" s="155"/>
      <c r="D18" s="155"/>
      <c r="E18" s="156"/>
    </row>
    <row r="19" spans="1:5">
      <c r="A19" s="4" t="s">
        <v>9</v>
      </c>
      <c r="B19" s="5"/>
      <c r="C19" s="6"/>
      <c r="D19" s="48"/>
      <c r="E19" s="7"/>
    </row>
    <row r="20" spans="1:5">
      <c r="A20" s="193" t="s">
        <v>367</v>
      </c>
      <c r="B20" s="139">
        <v>1</v>
      </c>
      <c r="C20" s="56"/>
      <c r="D20" s="140" t="s">
        <v>10</v>
      </c>
      <c r="E20" s="59">
        <f>2600*12</f>
        <v>31200</v>
      </c>
    </row>
    <row r="21" spans="1:5">
      <c r="A21" s="192" t="s">
        <v>368</v>
      </c>
      <c r="B21" s="157">
        <v>1</v>
      </c>
      <c r="C21" s="81"/>
      <c r="D21" s="158" t="s">
        <v>11</v>
      </c>
      <c r="E21" s="84">
        <v>2800</v>
      </c>
    </row>
    <row r="22" spans="1:5">
      <c r="A22" s="4" t="s">
        <v>12</v>
      </c>
      <c r="B22" s="5"/>
      <c r="C22" s="6"/>
      <c r="D22" s="48"/>
      <c r="E22" s="7">
        <f>SUM(E20:E21)</f>
        <v>34000</v>
      </c>
    </row>
    <row r="23" spans="1:5" ht="3.75" customHeight="1">
      <c r="A23" s="154"/>
      <c r="B23" s="155"/>
      <c r="C23" s="155"/>
      <c r="D23" s="155"/>
      <c r="E23" s="156"/>
    </row>
    <row r="24" spans="1:5">
      <c r="A24" s="191" t="s">
        <v>347</v>
      </c>
      <c r="B24" s="143">
        <v>1</v>
      </c>
      <c r="C24" s="8"/>
      <c r="D24" s="9" t="s">
        <v>13</v>
      </c>
      <c r="E24" s="10">
        <f>-E21</f>
        <v>-2800</v>
      </c>
    </row>
    <row r="25" spans="1:5">
      <c r="A25" s="191" t="s">
        <v>348</v>
      </c>
      <c r="B25" s="143">
        <v>1</v>
      </c>
      <c r="C25" s="8"/>
      <c r="D25" s="9" t="s">
        <v>256</v>
      </c>
      <c r="E25" s="10">
        <v>-1850</v>
      </c>
    </row>
    <row r="26" spans="1:5">
      <c r="A26" s="192" t="s">
        <v>349</v>
      </c>
      <c r="B26" s="157">
        <v>1</v>
      </c>
      <c r="C26" s="83" t="s">
        <v>49</v>
      </c>
      <c r="D26" s="158" t="s">
        <v>14</v>
      </c>
      <c r="E26" s="84">
        <f>-B76</f>
        <v>-2400</v>
      </c>
    </row>
    <row r="27" spans="1:5">
      <c r="A27" s="4" t="s">
        <v>15</v>
      </c>
      <c r="B27" s="5"/>
      <c r="C27" s="6"/>
      <c r="D27" s="48"/>
      <c r="E27" s="7">
        <f>SUM(E22:E26)</f>
        <v>26950</v>
      </c>
    </row>
    <row r="28" spans="1:5" ht="3.75" customHeight="1"/>
    <row r="29" spans="1:5">
      <c r="A29" s="4" t="s">
        <v>122</v>
      </c>
      <c r="B29" s="6"/>
      <c r="C29" s="6"/>
      <c r="D29" s="6"/>
      <c r="E29" s="93"/>
    </row>
    <row r="30" spans="1:5">
      <c r="A30" s="192" t="s">
        <v>369</v>
      </c>
      <c r="B30" s="82">
        <v>6</v>
      </c>
      <c r="C30" s="81"/>
      <c r="D30" s="83" t="s">
        <v>257</v>
      </c>
      <c r="E30" s="84">
        <v>20000</v>
      </c>
    </row>
    <row r="31" spans="1:5">
      <c r="A31" s="194" t="s">
        <v>361</v>
      </c>
      <c r="B31" s="55"/>
      <c r="C31" s="6"/>
      <c r="D31" s="145"/>
      <c r="E31" s="7">
        <f>+E30</f>
        <v>20000</v>
      </c>
    </row>
    <row r="32" spans="1:5">
      <c r="A32" s="193" t="s">
        <v>350</v>
      </c>
      <c r="B32" s="57">
        <v>6</v>
      </c>
      <c r="C32" s="56"/>
      <c r="D32" s="58" t="s">
        <v>285</v>
      </c>
      <c r="E32" s="59">
        <f>-100000/10</f>
        <v>-10000</v>
      </c>
    </row>
    <row r="33" spans="1:5">
      <c r="A33" s="195" t="s">
        <v>360</v>
      </c>
      <c r="B33" s="144"/>
      <c r="C33" s="141"/>
      <c r="D33" s="99"/>
      <c r="E33" s="142">
        <f>SUM(E31:E32)</f>
        <v>10000</v>
      </c>
    </row>
    <row r="34" spans="1:5" ht="3.75" customHeight="1">
      <c r="A34" s="30"/>
      <c r="B34" s="31"/>
      <c r="C34" s="31"/>
      <c r="D34" s="31"/>
      <c r="E34" s="32"/>
    </row>
    <row r="35" spans="1:5" ht="15" customHeight="1">
      <c r="A35" s="194" t="s">
        <v>359</v>
      </c>
      <c r="B35" s="55"/>
      <c r="C35" s="55"/>
      <c r="D35" s="145"/>
      <c r="E35" s="7">
        <f>+E17+E27+E33</f>
        <v>468750</v>
      </c>
    </row>
    <row r="36" spans="1:5" ht="3.75" customHeight="1">
      <c r="A36" s="30"/>
      <c r="B36" s="31"/>
      <c r="C36" s="31"/>
      <c r="D36" s="31"/>
      <c r="E36" s="32"/>
    </row>
    <row r="37" spans="1:5" ht="15" customHeight="1">
      <c r="A37" s="4" t="s">
        <v>99</v>
      </c>
      <c r="B37" s="55"/>
      <c r="C37" s="55"/>
      <c r="D37" s="145"/>
      <c r="E37" s="7"/>
    </row>
    <row r="38" spans="1:5" ht="15.75" customHeight="1">
      <c r="A38" s="191" t="s">
        <v>351</v>
      </c>
      <c r="B38" s="50">
        <v>10</v>
      </c>
      <c r="C38" s="50" t="s">
        <v>50</v>
      </c>
      <c r="D38" s="29" t="s">
        <v>100</v>
      </c>
      <c r="E38" s="10">
        <v>-996.23</v>
      </c>
    </row>
    <row r="39" spans="1:5">
      <c r="A39" s="191" t="s">
        <v>352</v>
      </c>
      <c r="B39" s="50">
        <v>8</v>
      </c>
      <c r="C39" s="50" t="s">
        <v>101</v>
      </c>
      <c r="D39" s="29" t="s">
        <v>258</v>
      </c>
      <c r="E39" s="10">
        <v>-15552</v>
      </c>
    </row>
    <row r="40" spans="1:5">
      <c r="A40" s="191" t="s">
        <v>353</v>
      </c>
      <c r="B40" s="50">
        <v>9</v>
      </c>
      <c r="C40" s="50"/>
      <c r="D40" s="29" t="s">
        <v>259</v>
      </c>
      <c r="E40" s="10">
        <v>-2800</v>
      </c>
    </row>
    <row r="41" spans="1:5" ht="15" customHeight="1">
      <c r="A41" s="194" t="s">
        <v>358</v>
      </c>
      <c r="B41" s="55"/>
      <c r="C41" s="55"/>
      <c r="D41" s="145"/>
      <c r="E41" s="7">
        <f>SUM(E35:E40)</f>
        <v>449401.77</v>
      </c>
    </row>
    <row r="42" spans="1:5" ht="3.75" customHeight="1">
      <c r="A42" s="30"/>
      <c r="B42" s="31"/>
      <c r="C42" s="31"/>
      <c r="D42" s="31"/>
      <c r="E42" s="32"/>
    </row>
    <row r="43" spans="1:5">
      <c r="A43" s="4" t="s">
        <v>108</v>
      </c>
      <c r="B43" s="55"/>
      <c r="C43" s="55"/>
      <c r="D43" s="145"/>
      <c r="E43" s="7"/>
    </row>
    <row r="44" spans="1:5">
      <c r="A44" s="191" t="s">
        <v>354</v>
      </c>
      <c r="B44" s="57"/>
      <c r="C44" s="57"/>
      <c r="D44" s="58" t="s">
        <v>109</v>
      </c>
      <c r="E44" s="59">
        <v>-15552</v>
      </c>
    </row>
    <row r="45" spans="1:5">
      <c r="A45" s="191" t="s">
        <v>355</v>
      </c>
      <c r="B45" s="50">
        <v>7</v>
      </c>
      <c r="C45" s="50"/>
      <c r="D45" s="29" t="s">
        <v>260</v>
      </c>
      <c r="E45" s="10">
        <v>-8640</v>
      </c>
    </row>
    <row r="46" spans="1:5">
      <c r="A46" s="192" t="s">
        <v>356</v>
      </c>
      <c r="B46" s="82"/>
      <c r="C46" s="82" t="s">
        <v>112</v>
      </c>
      <c r="D46" s="83" t="s">
        <v>261</v>
      </c>
      <c r="E46" s="84">
        <v>-74649.600000000006</v>
      </c>
    </row>
    <row r="47" spans="1:5" ht="15" customHeight="1">
      <c r="A47" s="194" t="s">
        <v>357</v>
      </c>
      <c r="B47" s="55"/>
      <c r="C47" s="55"/>
      <c r="D47" s="145"/>
      <c r="E47" s="7">
        <f>SUM(E41:E46)</f>
        <v>350560.17000000004</v>
      </c>
    </row>
    <row r="48" spans="1:5" ht="3.75" customHeight="1">
      <c r="A48" s="94"/>
      <c r="B48" s="95"/>
      <c r="C48" s="95"/>
      <c r="D48" s="95"/>
      <c r="E48" s="164"/>
    </row>
    <row r="49" spans="1:6">
      <c r="A49" s="141" t="s">
        <v>111</v>
      </c>
      <c r="B49" s="141"/>
      <c r="C49" s="99" t="s">
        <v>294</v>
      </c>
      <c r="D49" s="99" t="s">
        <v>113</v>
      </c>
      <c r="E49" s="142">
        <f>+C104</f>
        <v>109196.0595</v>
      </c>
    </row>
    <row r="50" spans="1:6">
      <c r="A50" s="191" t="s">
        <v>362</v>
      </c>
      <c r="B50" s="165">
        <v>11</v>
      </c>
      <c r="C50" s="8"/>
      <c r="D50" s="8"/>
      <c r="E50" s="8">
        <v>-20000</v>
      </c>
    </row>
    <row r="51" spans="1:6">
      <c r="A51" s="194" t="s">
        <v>363</v>
      </c>
      <c r="B51" s="6"/>
      <c r="C51" s="6"/>
      <c r="D51" s="6"/>
      <c r="E51" s="93">
        <f>+E49+E50</f>
        <v>89196.059500000003</v>
      </c>
    </row>
    <row r="53" spans="1:6">
      <c r="A53" s="185" t="s">
        <v>277</v>
      </c>
      <c r="B53" s="186"/>
      <c r="C53" s="186"/>
      <c r="D53" s="186"/>
      <c r="E53" s="186"/>
      <c r="F53" s="188"/>
    </row>
    <row r="54" spans="1:6">
      <c r="A54" s="1" t="s">
        <v>278</v>
      </c>
    </row>
    <row r="55" spans="1:6">
      <c r="A55" s="1" t="s">
        <v>279</v>
      </c>
    </row>
    <row r="56" spans="1:6">
      <c r="A56" s="12" t="s">
        <v>280</v>
      </c>
      <c r="B56" s="12"/>
      <c r="C56" s="12"/>
      <c r="D56" s="46">
        <v>15000</v>
      </c>
    </row>
    <row r="57" spans="1:6">
      <c r="A57" s="117" t="s">
        <v>281</v>
      </c>
      <c r="B57" s="16"/>
      <c r="C57" s="16"/>
      <c r="D57" s="23">
        <f>10000-(10000/10)</f>
        <v>9000</v>
      </c>
    </row>
    <row r="58" spans="1:6">
      <c r="D58" s="24">
        <f>+D56-D57</f>
        <v>6000</v>
      </c>
    </row>
    <row r="59" spans="1:6">
      <c r="D59" s="24"/>
    </row>
    <row r="60" spans="1:6">
      <c r="A60" s="185" t="s">
        <v>282</v>
      </c>
      <c r="B60" s="190"/>
      <c r="C60" s="190"/>
      <c r="D60" s="190"/>
      <c r="E60" s="190"/>
      <c r="F60" s="188"/>
    </row>
    <row r="61" spans="1:6" ht="17.25">
      <c r="A61" s="35" t="s">
        <v>262</v>
      </c>
      <c r="B61" s="146" t="s">
        <v>263</v>
      </c>
      <c r="C61" s="147">
        <v>20000</v>
      </c>
      <c r="D61" s="24">
        <f>+C61/C62</f>
        <v>4000</v>
      </c>
    </row>
    <row r="62" spans="1:6">
      <c r="A62" s="35" t="s">
        <v>264</v>
      </c>
      <c r="B62" s="35"/>
      <c r="C62" s="36">
        <v>5</v>
      </c>
    </row>
    <row r="63" spans="1:6">
      <c r="A63" s="22"/>
      <c r="B63" s="35"/>
    </row>
    <row r="64" spans="1:6" ht="17.25">
      <c r="A64" s="22" t="s">
        <v>265</v>
      </c>
      <c r="B64" s="146" t="s">
        <v>263</v>
      </c>
      <c r="C64" s="148">
        <v>180000</v>
      </c>
      <c r="D64" s="149" t="s">
        <v>270</v>
      </c>
      <c r="E64" s="15">
        <f>+(C64*50%)/C65</f>
        <v>18000</v>
      </c>
    </row>
    <row r="65" spans="1:6">
      <c r="A65" s="22"/>
      <c r="B65" s="35"/>
      <c r="C65" s="150">
        <v>5</v>
      </c>
    </row>
    <row r="66" spans="1:6">
      <c r="A66" s="22" t="s">
        <v>266</v>
      </c>
      <c r="B66" s="146" t="s">
        <v>263</v>
      </c>
      <c r="C66" s="15">
        <f>+E64-D61</f>
        <v>14000</v>
      </c>
    </row>
    <row r="68" spans="1:6">
      <c r="A68" s="185" t="s">
        <v>283</v>
      </c>
      <c r="B68" s="190"/>
      <c r="C68" s="190"/>
      <c r="D68" s="190"/>
      <c r="E68" s="190"/>
      <c r="F68" s="188"/>
    </row>
    <row r="69" spans="1:6">
      <c r="A69" s="22" t="s">
        <v>267</v>
      </c>
      <c r="B69" s="146" t="s">
        <v>263</v>
      </c>
      <c r="E69" s="24">
        <v>7200</v>
      </c>
    </row>
    <row r="70" spans="1:6">
      <c r="A70" s="151" t="s">
        <v>268</v>
      </c>
      <c r="B70" s="152" t="s">
        <v>263</v>
      </c>
      <c r="C70" s="16">
        <v>23400</v>
      </c>
      <c r="D70" s="153" t="s">
        <v>271</v>
      </c>
      <c r="E70" s="23">
        <f>+C70*50%</f>
        <v>11700</v>
      </c>
    </row>
    <row r="71" spans="1:6">
      <c r="A71" s="22" t="s">
        <v>269</v>
      </c>
      <c r="B71" s="146" t="s">
        <v>263</v>
      </c>
      <c r="E71" s="15">
        <f>+E70-E69</f>
        <v>4500</v>
      </c>
    </row>
    <row r="72" spans="1:6">
      <c r="A72" s="185" t="s">
        <v>284</v>
      </c>
      <c r="B72" s="186"/>
      <c r="C72" s="186"/>
      <c r="D72" s="186"/>
      <c r="E72" s="186"/>
      <c r="F72" s="188"/>
    </row>
    <row r="73" spans="1:6">
      <c r="A73" s="1" t="s">
        <v>91</v>
      </c>
      <c r="B73" s="15">
        <v>150000</v>
      </c>
    </row>
    <row r="74" spans="1:6">
      <c r="A74" s="1" t="s">
        <v>273</v>
      </c>
      <c r="B74" s="15"/>
    </row>
    <row r="75" spans="1:6">
      <c r="A75" s="1" t="s">
        <v>275</v>
      </c>
      <c r="B75" s="15">
        <f>+B73*80%</f>
        <v>120000</v>
      </c>
    </row>
    <row r="76" spans="1:6">
      <c r="A76" s="1" t="s">
        <v>274</v>
      </c>
      <c r="B76" s="24">
        <f>+B75/200*4</f>
        <v>2400</v>
      </c>
    </row>
    <row r="78" spans="1:6">
      <c r="A78" s="185" t="s">
        <v>289</v>
      </c>
      <c r="B78" s="186"/>
      <c r="C78" s="186"/>
      <c r="D78" s="186"/>
      <c r="E78" s="186"/>
      <c r="F78" s="188"/>
    </row>
    <row r="79" spans="1:6">
      <c r="A79" s="1" t="s">
        <v>102</v>
      </c>
    </row>
    <row r="80" spans="1:6">
      <c r="A80" s="1" t="s">
        <v>103</v>
      </c>
      <c r="C80" s="15">
        <v>2000</v>
      </c>
    </row>
    <row r="81" spans="1:6">
      <c r="A81" s="61" t="s">
        <v>104</v>
      </c>
      <c r="B81" s="62"/>
      <c r="C81" s="63">
        <v>996.23</v>
      </c>
    </row>
    <row r="82" spans="1:6">
      <c r="A82" s="1" t="s">
        <v>105</v>
      </c>
      <c r="C82" s="15">
        <f>+C80-C81</f>
        <v>1003.77</v>
      </c>
    </row>
    <row r="84" spans="1:6">
      <c r="A84" s="185" t="s">
        <v>288</v>
      </c>
      <c r="B84" s="190"/>
      <c r="C84" s="190"/>
      <c r="D84" s="190"/>
      <c r="E84" s="190"/>
      <c r="F84" s="188"/>
    </row>
    <row r="85" spans="1:6">
      <c r="A85" s="1" t="s">
        <v>286</v>
      </c>
      <c r="F85" s="166"/>
    </row>
    <row r="86" spans="1:6">
      <c r="A86" s="1" t="s">
        <v>287</v>
      </c>
      <c r="F86" s="166"/>
    </row>
    <row r="87" spans="1:6">
      <c r="A87" s="1" t="s">
        <v>103</v>
      </c>
      <c r="C87" s="15">
        <v>18200</v>
      </c>
      <c r="F87" s="166"/>
    </row>
    <row r="88" spans="1:6">
      <c r="A88" s="61" t="s">
        <v>104</v>
      </c>
      <c r="B88" s="62"/>
      <c r="C88" s="63">
        <v>15552</v>
      </c>
      <c r="F88" s="166"/>
    </row>
    <row r="89" spans="1:6">
      <c r="A89" s="1" t="s">
        <v>105</v>
      </c>
      <c r="C89" s="15">
        <f>+C87-C88</f>
        <v>2648</v>
      </c>
    </row>
    <row r="91" spans="1:6">
      <c r="A91" s="185" t="s">
        <v>291</v>
      </c>
      <c r="B91" s="190"/>
      <c r="C91" s="190"/>
      <c r="D91" s="190"/>
      <c r="E91" s="190"/>
      <c r="F91" s="188"/>
    </row>
    <row r="92" spans="1:6">
      <c r="A92" s="1" t="s">
        <v>290</v>
      </c>
      <c r="F92" s="166"/>
    </row>
    <row r="93" spans="1:6">
      <c r="A93" s="1" t="s">
        <v>292</v>
      </c>
      <c r="F93" s="166"/>
    </row>
    <row r="94" spans="1:6">
      <c r="F94" s="166"/>
    </row>
    <row r="95" spans="1:6">
      <c r="A95" s="185" t="s">
        <v>293</v>
      </c>
      <c r="B95" s="186"/>
      <c r="C95" s="186"/>
      <c r="D95" s="186"/>
      <c r="E95" s="186"/>
      <c r="F95" s="188"/>
    </row>
    <row r="96" spans="1:6">
      <c r="A96" s="1" t="s">
        <v>115</v>
      </c>
      <c r="C96" s="15">
        <f>+E47</f>
        <v>350560.17000000004</v>
      </c>
      <c r="F96" s="166"/>
    </row>
    <row r="97" spans="1:3">
      <c r="A97" s="1" t="s">
        <v>116</v>
      </c>
    </row>
    <row r="98" spans="1:3">
      <c r="A98" s="1" t="s">
        <v>117</v>
      </c>
      <c r="C98" s="24">
        <v>28500</v>
      </c>
    </row>
    <row r="99" spans="1:3">
      <c r="A99" s="75" t="s">
        <v>118</v>
      </c>
    </row>
    <row r="100" spans="1:3">
      <c r="A100" s="1" t="s">
        <v>119</v>
      </c>
      <c r="C100" s="76">
        <v>0.35</v>
      </c>
    </row>
    <row r="101" spans="1:3">
      <c r="A101" s="16" t="s">
        <v>322</v>
      </c>
      <c r="B101" s="16"/>
      <c r="C101" s="23">
        <f>+C96-120000</f>
        <v>230560.17000000004</v>
      </c>
    </row>
    <row r="102" spans="1:3">
      <c r="C102" s="24">
        <f>+C101*C100</f>
        <v>80696.059500000003</v>
      </c>
    </row>
    <row r="104" spans="1:3">
      <c r="A104" s="2" t="s">
        <v>337</v>
      </c>
      <c r="B104" s="2"/>
      <c r="C104" s="24">
        <f>+C98+C102</f>
        <v>109196.0595</v>
      </c>
    </row>
    <row r="105" spans="1:3">
      <c r="A105" s="1" t="s">
        <v>343</v>
      </c>
    </row>
    <row r="106" spans="1:3">
      <c r="A106" s="1" t="s">
        <v>97</v>
      </c>
    </row>
    <row r="107" spans="1:3">
      <c r="A107" s="1" t="s">
        <v>98</v>
      </c>
    </row>
    <row r="109" spans="1:3">
      <c r="A109" s="1" t="s">
        <v>180</v>
      </c>
    </row>
    <row r="110" spans="1:3">
      <c r="A110" s="1" t="s">
        <v>181</v>
      </c>
    </row>
    <row r="112" spans="1:3">
      <c r="A112" s="1" t="s">
        <v>247</v>
      </c>
    </row>
    <row r="113" spans="1:1">
      <c r="A113" s="1" t="s">
        <v>248</v>
      </c>
    </row>
  </sheetData>
  <mergeCells count="1">
    <mergeCell ref="A3:F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&amp;L&amp;"-,Negrita"&amp;K00-044GUÍA DE TRABAJOS PRÁCTICOS.
UNIDAD V&amp;R&amp;"-,Negrita"&amp;K00-045Florencia I. Taier</oddHeader>
    <oddFooter>&amp;L&amp;G &amp;C&amp;"-,Negrita"&amp;K00-047UCC. FACEA. 
IMPUESTOS I. Cát. "B"&amp;R&amp;"-,Negrita"&amp;K00-047Página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5.01</vt:lpstr>
      <vt:lpstr>5.02</vt:lpstr>
      <vt:lpstr>5.03</vt:lpstr>
      <vt:lpstr>5.04</vt:lpstr>
      <vt:lpstr>5.05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Guest</cp:lastModifiedBy>
  <cp:lastPrinted>2014-09-22T14:38:00Z</cp:lastPrinted>
  <dcterms:created xsi:type="dcterms:W3CDTF">2013-12-27T15:56:41Z</dcterms:created>
  <dcterms:modified xsi:type="dcterms:W3CDTF">2014-09-22T14:38:05Z</dcterms:modified>
</cp:coreProperties>
</file>